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 tabRatio="823"/>
  </bookViews>
  <sheets>
    <sheet name="清算项目基本情况表" sheetId="29" r:id="rId1"/>
    <sheet name="土地增值税税源明细表" sheetId="5" r:id="rId2"/>
    <sheet name="附表1-面积统计表" sheetId="32" r:id="rId3"/>
    <sheet name="附表2-收入统计表" sheetId="8" r:id="rId4"/>
    <sheet name="附表3-扣除项目分摊表" sheetId="6" r:id="rId5"/>
    <sheet name="附表4-项目间共同扣除金额分摊表" sheetId="38" r:id="rId6"/>
    <sheet name="附表5-扣除项目统计表" sheetId="30" r:id="rId7"/>
    <sheet name="附表6-收入明细采集底稿" sheetId="9" r:id="rId8"/>
    <sheet name="附表7-扣除项目明细采集底稿" sheetId="31" r:id="rId9"/>
    <sheet name="附表8-合同明细采集底稿" sheetId="37" r:id="rId10"/>
    <sheet name="工程造价采集表" sheetId="42" r:id="rId11"/>
    <sheet name="数据对照表" sheetId="39" r:id="rId12"/>
  </sheets>
  <definedNames>
    <definedName name="_xlnm.Print_Area" localSheetId="2">'附表1-面积统计表'!$A$1:$K$35</definedName>
    <definedName name="_xlnm.Print_Area" localSheetId="3">'附表2-收入统计表'!$A$1:$F$13</definedName>
    <definedName name="_xlnm.Print_Area" localSheetId="4">'附表3-扣除项目分摊表'!$A$1:$N$27</definedName>
    <definedName name="_xlnm.Print_Area" localSheetId="6">'附表5-扣除项目统计表'!$1:$87</definedName>
    <definedName name="_xlnm.Print_Area" localSheetId="7">'附表6-收入明细采集底稿'!$A$1:$Z$39</definedName>
    <definedName name="_xlnm.Print_Area" localSheetId="8">'附表7-扣除项目明细采集底稿'!$A:$AB</definedName>
    <definedName name="_xlnm.Print_Area" localSheetId="0">清算项目基本情况表!$A$1:$AI$36</definedName>
    <definedName name="_xlnm.Print_Area" localSheetId="1">土地增值税税源明细表!$A$1:$L$48</definedName>
    <definedName name="_xlnm.Print_Titles" localSheetId="4">'附表3-扣除项目分摊表'!$3:$5</definedName>
    <definedName name="_xlnm.Print_Titles" localSheetId="5">'附表4-项目间共同扣除金额分摊表'!$3:$4</definedName>
    <definedName name="_xlnm.Print_Titles" localSheetId="6">'附表5-扣除项目统计表'!$3:$5</definedName>
    <definedName name="_xlnm.Print_Titles" localSheetId="7">'附表6-收入明细采集底稿'!$3:$4</definedName>
    <definedName name="_xlnm.Print_Titles" localSheetId="8">'附表7-扣除项目明细采集底稿'!$3:$4</definedName>
    <definedName name="_xlnm.Print_Titles" localSheetId="1">土地增值税税源明细表!$10:$10</definedName>
  </definedNames>
  <calcPr calcId="144525"/>
</workbook>
</file>

<file path=xl/sharedStrings.xml><?xml version="1.0" encoding="utf-8"?>
<sst xmlns="http://schemas.openxmlformats.org/spreadsheetml/2006/main" count="1041" uniqueCount="543">
  <si>
    <r>
      <rPr>
        <sz val="26"/>
        <color theme="1"/>
        <rFont val="方正小标宋简体"/>
        <charset val="134"/>
      </rPr>
      <t>T10000</t>
    </r>
    <r>
      <rPr>
        <sz val="26"/>
        <color theme="1"/>
        <rFont val="微软雅黑"/>
        <charset val="134"/>
      </rPr>
      <t>清算项目基本情况表</t>
    </r>
  </si>
  <si>
    <t>（从事房地产开发的纳税人适用）</t>
  </si>
  <si>
    <t>纳税人识别号：</t>
  </si>
  <si>
    <t>纳税人名称：</t>
  </si>
  <si>
    <t>*填表日期：</t>
  </si>
  <si>
    <t>金额单位:人民币元(列至角分)</t>
  </si>
  <si>
    <t>面积单位:平方米</t>
  </si>
  <si>
    <t>项目基本情况</t>
  </si>
  <si>
    <t>*项目名称</t>
  </si>
  <si>
    <t>*项目编码</t>
  </si>
  <si>
    <t>*是否属于分期开发项目</t>
  </si>
  <si>
    <t>*项目地址</t>
  </si>
  <si>
    <t>*总预算成本</t>
  </si>
  <si>
    <t>*项目所在地主管税务机关</t>
  </si>
  <si>
    <t>*项目所在地主管税务所（科/分局）</t>
  </si>
  <si>
    <t>*开发土地总面积</t>
  </si>
  <si>
    <t>*开发建筑总面积</t>
  </si>
  <si>
    <t>*项目总地价款</t>
  </si>
  <si>
    <t>*容积率</t>
  </si>
  <si>
    <t>*绿地率</t>
  </si>
  <si>
    <t>项目开工日期</t>
  </si>
  <si>
    <t>整体竣工日期</t>
  </si>
  <si>
    <t>最后一个销（预）售证取得时间</t>
  </si>
  <si>
    <t>发改部门立项信息</t>
  </si>
  <si>
    <t>序号</t>
  </si>
  <si>
    <t>投资项目代码</t>
  </si>
  <si>
    <t>项目名称</t>
  </si>
  <si>
    <t>项目总投资</t>
  </si>
  <si>
    <t>建筑面积</t>
  </si>
  <si>
    <t>土地使用权信息</t>
  </si>
  <si>
    <t>不动产权证号</t>
  </si>
  <si>
    <t>不动产单元号</t>
  </si>
  <si>
    <t>权利类型</t>
  </si>
  <si>
    <t>权利性质</t>
  </si>
  <si>
    <t>用途</t>
  </si>
  <si>
    <t>面积</t>
  </si>
  <si>
    <t>使用期限</t>
  </si>
  <si>
    <t>土地使用权证发证日期</t>
  </si>
  <si>
    <t>建设用地规划许可信息</t>
  </si>
  <si>
    <t>建设用地规划许可证编号</t>
  </si>
  <si>
    <t>用地项目名称</t>
  </si>
  <si>
    <t>用地位置</t>
  </si>
  <si>
    <t>用地面积</t>
  </si>
  <si>
    <t>建设规模</t>
  </si>
  <si>
    <t>发证日期</t>
  </si>
  <si>
    <t>建设工程规划许可信息</t>
  </si>
  <si>
    <t>建设工程规划许可证编号</t>
  </si>
  <si>
    <t>建设项目名称</t>
  </si>
  <si>
    <t>建设位置</t>
  </si>
  <si>
    <t>*发证日期</t>
  </si>
  <si>
    <t>建筑工程施工许可信息</t>
  </si>
  <si>
    <t>建筑工程施工许可证编号</t>
  </si>
  <si>
    <t>工程名称</t>
  </si>
  <si>
    <t>建设地址</t>
  </si>
  <si>
    <t>合同价格</t>
  </si>
  <si>
    <t>施工单位名称</t>
  </si>
  <si>
    <t>合同开工日期</t>
  </si>
  <si>
    <t>合同竣工日期</t>
  </si>
  <si>
    <t>预售许可信息</t>
  </si>
  <si>
    <t>预售许可证编号</t>
  </si>
  <si>
    <r>
      <rPr>
        <sz val="14"/>
        <color theme="1"/>
        <rFont val="宋体"/>
        <charset val="134"/>
      </rPr>
      <t>预售款专用帐户网点、帐号</t>
    </r>
    <r>
      <rPr>
        <sz val="14"/>
        <color theme="1"/>
        <rFont val="Times New Roman"/>
        <charset val="134"/>
      </rPr>
      <t> </t>
    </r>
  </si>
  <si>
    <t>预售房屋建筑面积</t>
  </si>
  <si>
    <t>预售套数</t>
  </si>
  <si>
    <t>住宅</t>
  </si>
  <si>
    <t>商业用房</t>
  </si>
  <si>
    <t>办公用房</t>
  </si>
  <si>
    <t>车位车库</t>
  </si>
  <si>
    <t>其他</t>
  </si>
  <si>
    <t>合计</t>
  </si>
  <si>
    <r>
      <rPr>
        <sz val="14"/>
        <color theme="1"/>
        <rFont val="宋体"/>
        <charset val="134"/>
      </rPr>
      <t>车位车库</t>
    </r>
    <r>
      <rPr>
        <sz val="14"/>
        <color theme="1"/>
        <rFont val="Times New Roman"/>
        <charset val="134"/>
      </rPr>
      <t> </t>
    </r>
  </si>
  <si>
    <t xml:space="preserve">现售备案信息 </t>
  </si>
  <si>
    <t>现售备案证书编号</t>
  </si>
  <si>
    <t>现售房屋建筑面积</t>
  </si>
  <si>
    <t>建设工程竣工验收信息</t>
  </si>
  <si>
    <t>竣工的建筑工程施工许可证编号</t>
  </si>
  <si>
    <t>验收日期</t>
  </si>
  <si>
    <t>*备案日期</t>
  </si>
  <si>
    <t>竣工工程造价</t>
  </si>
  <si>
    <t>竣工面积</t>
  </si>
  <si>
    <r>
      <rPr>
        <sz val="20"/>
        <rFont val="方正小标宋简体"/>
        <charset val="134"/>
      </rPr>
      <t>T20000</t>
    </r>
    <r>
      <rPr>
        <sz val="20"/>
        <rFont val="微软雅黑"/>
        <charset val="134"/>
      </rPr>
      <t>土地增值税税源明细表</t>
    </r>
  </si>
  <si>
    <t>税款所属期间：</t>
  </si>
  <si>
    <t xml:space="preserve">      年    月    日 至       年    月    日</t>
  </si>
  <si>
    <t>纳税人识别号(统一社会信用代码):</t>
  </si>
  <si>
    <t xml:space="preserve">纳税人名称: </t>
  </si>
  <si>
    <t>项目编码</t>
  </si>
  <si>
    <t>项目地址</t>
  </si>
  <si>
    <t>分配方法</t>
  </si>
  <si>
    <t>三分法</t>
  </si>
  <si>
    <t>项目总可售面积</t>
  </si>
  <si>
    <t>自用和出租面积</t>
  </si>
  <si>
    <t>已售面积</t>
  </si>
  <si>
    <t>其中:普通住宅已售面积</t>
  </si>
  <si>
    <t>其中:非普通住宅已售面积</t>
  </si>
  <si>
    <t>其中:其他类型房地产已售面积</t>
  </si>
  <si>
    <t>清算后剩余可售面积</t>
  </si>
  <si>
    <t>其中:普通住宅剩余可售面积</t>
  </si>
  <si>
    <t>其中:非普通住宅剩余可售面积</t>
  </si>
  <si>
    <t>其中:其他类型房地产剩余可售面积</t>
  </si>
  <si>
    <t>项目</t>
  </si>
  <si>
    <t>行次</t>
  </si>
  <si>
    <t>普通住宅</t>
  </si>
  <si>
    <t>非普通住宅</t>
  </si>
  <si>
    <t>其他类型房产</t>
  </si>
  <si>
    <t>总额</t>
  </si>
  <si>
    <t>一、转让房地产收入总额</t>
  </si>
  <si>
    <t>1=2+3+4</t>
  </si>
  <si>
    <t>1.货币收入</t>
  </si>
  <si>
    <t>2.实物收入及其他收入</t>
  </si>
  <si>
    <t>3.视同销售收入</t>
  </si>
  <si>
    <t>二、扣除项目金额合计</t>
  </si>
  <si>
    <t>5=6+7+14+17+21+22</t>
  </si>
  <si>
    <t>1.取得土地使用权所支付的金额</t>
  </si>
  <si>
    <t>其中：不可加计扣除金额</t>
  </si>
  <si>
    <t>6-1</t>
  </si>
  <si>
    <t>2.房地产开发成本</t>
  </si>
  <si>
    <t>7=8+9+10+11+12+13</t>
  </si>
  <si>
    <t>其中：土地征用及拆迁补偿费</t>
  </si>
  <si>
    <t xml:space="preserve">      前期工程费</t>
  </si>
  <si>
    <t xml:space="preserve">      建筑安装工程费</t>
  </si>
  <si>
    <t xml:space="preserve">      基础设施费</t>
  </si>
  <si>
    <t xml:space="preserve">      公共配套设施费</t>
  </si>
  <si>
    <t xml:space="preserve">      开发间接费用</t>
  </si>
  <si>
    <t>7-1</t>
  </si>
  <si>
    <t>3.房地产开发费用</t>
  </si>
  <si>
    <t>14=15+16</t>
  </si>
  <si>
    <t>其中：利息支出</t>
  </si>
  <si>
    <t xml:space="preserve">      其他房地产开发费用</t>
  </si>
  <si>
    <t>4.与转让房地产有关的税金等</t>
  </si>
  <si>
    <t>17=18+19+20</t>
  </si>
  <si>
    <t>其中：营业税</t>
  </si>
  <si>
    <t xml:space="preserve">      城市维护建设税</t>
  </si>
  <si>
    <t xml:space="preserve">      教育费附加</t>
  </si>
  <si>
    <t>5.财政部规定的其他扣除项目</t>
  </si>
  <si>
    <t>6.代收费用</t>
  </si>
  <si>
    <t>三、增值额</t>
  </si>
  <si>
    <t>23=1-5</t>
  </si>
  <si>
    <t>四、增值额与扣除项目金额之比（%）</t>
  </si>
  <si>
    <t>24=23÷5</t>
  </si>
  <si>
    <t>五、适用税率（%）</t>
  </si>
  <si>
    <t>六、速算扣除系数（%）</t>
  </si>
  <si>
    <t>七、应缴土地增值税税额</t>
  </si>
  <si>
    <t>27=23*25-5*26</t>
  </si>
  <si>
    <t>八、减免税额</t>
  </si>
  <si>
    <t>28=30+32+34</t>
  </si>
  <si>
    <t>其中：减免税（1）</t>
  </si>
  <si>
    <t>减免性质代码和项目名称(1)</t>
  </si>
  <si>
    <t>减免税额(1)</t>
  </si>
  <si>
    <t xml:space="preserve">      减免税（2）</t>
  </si>
  <si>
    <t>减免性质代码和项目名称(2)</t>
  </si>
  <si>
    <t>减免税额(2)</t>
  </si>
  <si>
    <t xml:space="preserve">      减免税（3）</t>
  </si>
  <si>
    <t>减免性质代码和项目名称(3)</t>
  </si>
  <si>
    <t>减免税额(3)</t>
  </si>
  <si>
    <t>九、已缴土地增值税税额</t>
  </si>
  <si>
    <t>请填写</t>
  </si>
  <si>
    <t>十、应补（退）土地增值税税额</t>
  </si>
  <si>
    <t>36=27-28-35</t>
  </si>
  <si>
    <r>
      <rPr>
        <sz val="16"/>
        <rFont val="方正小标宋简体"/>
        <charset val="134"/>
      </rPr>
      <t>T21000</t>
    </r>
    <r>
      <rPr>
        <sz val="16"/>
        <rFont val="微软雅黑"/>
        <charset val="134"/>
      </rPr>
      <t>附表</t>
    </r>
    <r>
      <rPr>
        <sz val="16"/>
        <rFont val="方正小标宋简体"/>
        <charset val="134"/>
      </rPr>
      <t>1-</t>
    </r>
    <r>
      <rPr>
        <sz val="16"/>
        <rFont val="微软雅黑"/>
        <charset val="134"/>
      </rPr>
      <t>面积统计表</t>
    </r>
  </si>
  <si>
    <t xml:space="preserve">面积基本信息  </t>
  </si>
  <si>
    <t>房屋类型</t>
  </si>
  <si>
    <t>测绘总建筑面积</t>
  </si>
  <si>
    <t>不可销售建筑面积</t>
  </si>
  <si>
    <t>总可售建筑面积</t>
  </si>
  <si>
    <t>已售建筑面积</t>
  </si>
  <si>
    <t>剩余可售建筑面积</t>
  </si>
  <si>
    <t>自用建筑面积</t>
  </si>
  <si>
    <t>出租建筑面积</t>
  </si>
  <si>
    <t>说明</t>
  </si>
  <si>
    <t>1=2+3</t>
  </si>
  <si>
    <t>2</t>
  </si>
  <si>
    <t>3</t>
  </si>
  <si>
    <t>4</t>
  </si>
  <si>
    <t>5=3-4
5≥6+7</t>
  </si>
  <si>
    <t>6</t>
  </si>
  <si>
    <t>7</t>
  </si>
  <si>
    <t>8</t>
  </si>
  <si>
    <t>面积比例信息</t>
  </si>
  <si>
    <t>可售面积</t>
  </si>
  <si>
    <t>销售比例</t>
  </si>
  <si>
    <t>自用比例</t>
  </si>
  <si>
    <t>出租比例</t>
  </si>
  <si>
    <t>销售、出租、自用比例</t>
  </si>
  <si>
    <t>9</t>
  </si>
  <si>
    <t>10</t>
  </si>
  <si>
    <t>11=10÷9</t>
  </si>
  <si>
    <t>12</t>
  </si>
  <si>
    <t>13</t>
  </si>
  <si>
    <t>14</t>
  </si>
  <si>
    <t>15</t>
  </si>
  <si>
    <r>
      <rPr>
        <sz val="16"/>
        <color indexed="8"/>
        <rFont val="方正小标宋简体"/>
        <charset val="134"/>
      </rPr>
      <t>T22000</t>
    </r>
    <r>
      <rPr>
        <sz val="16"/>
        <color rgb="FF000000"/>
        <rFont val="微软雅黑"/>
        <charset val="134"/>
      </rPr>
      <t>附表</t>
    </r>
    <r>
      <rPr>
        <sz val="16"/>
        <color indexed="8"/>
        <rFont val="方正小标宋简体"/>
        <charset val="134"/>
      </rPr>
      <t>2-</t>
    </r>
    <r>
      <rPr>
        <sz val="16"/>
        <color rgb="FF000000"/>
        <rFont val="微软雅黑"/>
        <charset val="134"/>
      </rPr>
      <t>收入统计表</t>
    </r>
  </si>
  <si>
    <t>清算类别</t>
  </si>
  <si>
    <t>货币收入</t>
  </si>
  <si>
    <t>实物收入及其他收入</t>
  </si>
  <si>
    <t>视同销售收入</t>
  </si>
  <si>
    <t>小计</t>
  </si>
  <si>
    <t>1</t>
  </si>
  <si>
    <t>4=1+2+3</t>
  </si>
  <si>
    <r>
      <rPr>
        <sz val="16"/>
        <color rgb="FF000000"/>
        <rFont val="方正小标宋简体"/>
        <charset val="134"/>
      </rPr>
      <t>T23000</t>
    </r>
    <r>
      <rPr>
        <sz val="16"/>
        <color rgb="FF000000"/>
        <rFont val="微软雅黑"/>
        <charset val="134"/>
      </rPr>
      <t>附表</t>
    </r>
    <r>
      <rPr>
        <sz val="16"/>
        <color rgb="FF000000"/>
        <rFont val="方正小标宋简体"/>
        <charset val="134"/>
      </rPr>
      <t>3-</t>
    </r>
    <r>
      <rPr>
        <sz val="16"/>
        <color rgb="FF000000"/>
        <rFont val="微软雅黑"/>
        <charset val="134"/>
      </rPr>
      <t>扣除项目分摊表</t>
    </r>
  </si>
  <si>
    <t>科目名称</t>
  </si>
  <si>
    <t>总扣除金额</t>
  </si>
  <si>
    <t>本次扣除比例</t>
  </si>
  <si>
    <t>本次扣除金额</t>
  </si>
  <si>
    <t>分摊方法</t>
  </si>
  <si>
    <t>5</t>
  </si>
  <si>
    <t>9=1*6</t>
  </si>
  <si>
    <t>10=2*7</t>
  </si>
  <si>
    <t>11=3*8</t>
  </si>
  <si>
    <t>12=9+10+11</t>
  </si>
  <si>
    <t>扣除项目金额合计</t>
  </si>
  <si>
    <t>1=2+4+12+15+21+22</t>
  </si>
  <si>
    <t>可售建筑面积法</t>
  </si>
  <si>
    <t>4=5+6+7+8+9+10</t>
  </si>
  <si>
    <t>11</t>
  </si>
  <si>
    <t>12=13+14</t>
  </si>
  <si>
    <t>15=16+17+18+19+20</t>
  </si>
  <si>
    <t>16</t>
  </si>
  <si>
    <t>17</t>
  </si>
  <si>
    <t>18</t>
  </si>
  <si>
    <t xml:space="preserve">      地方教育附加</t>
  </si>
  <si>
    <t>19</t>
  </si>
  <si>
    <t xml:space="preserve">      其他税（费）</t>
  </si>
  <si>
    <t>20</t>
  </si>
  <si>
    <t>21=[(2-3)+(4-11)]*20%</t>
  </si>
  <si>
    <t>22</t>
  </si>
  <si>
    <r>
      <rPr>
        <sz val="16"/>
        <rFont val="方正小标宋简体"/>
        <charset val="134"/>
      </rPr>
      <t>T23100</t>
    </r>
    <r>
      <rPr>
        <sz val="16"/>
        <rFont val="微软雅黑"/>
        <charset val="134"/>
      </rPr>
      <t>附表</t>
    </r>
    <r>
      <rPr>
        <sz val="16"/>
        <rFont val="方正小标宋简体"/>
        <charset val="134"/>
      </rPr>
      <t>4-</t>
    </r>
    <r>
      <rPr>
        <sz val="16"/>
        <rFont val="微软雅黑"/>
        <charset val="134"/>
      </rPr>
      <t>项目间共同扣除金额分摊表</t>
    </r>
  </si>
  <si>
    <t>二级科目名称</t>
  </si>
  <si>
    <t>记账金额</t>
  </si>
  <si>
    <t>准予扣除的记账金额</t>
  </si>
  <si>
    <t>前期已分摊金额</t>
  </si>
  <si>
    <t>本期分摊金额</t>
  </si>
  <si>
    <t>剩余待摊金额</t>
  </si>
  <si>
    <t>5=2-3-4</t>
  </si>
  <si>
    <t>手工填写</t>
  </si>
  <si>
    <t>21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</si>
  <si>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</si>
  <si>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</si>
  <si>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</si>
  <si>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</si>
  <si>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</si>
  <si>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</si>
  <si>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</si>
  <si>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</si>
  <si>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</si>
  <si>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</si>
  <si>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</si>
  <si>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</si>
  <si>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</si>
  <si>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</si>
  <si>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</si>
  <si>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</si>
  <si>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</si>
  <si>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</si>
  <si>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</si>
  <si>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</si>
  <si>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</si>
  <si>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</si>
  <si>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</si>
  <si>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</si>
  <si>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</si>
  <si>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</si>
  <si>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</si>
  <si>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</si>
  <si>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</si>
  <si>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</si>
  <si>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</si>
  <si>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</si>
  <si>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</si>
  <si>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</si>
  <si>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</si>
  <si>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</si>
  <si>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</si>
  <si>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</si>
  <si>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</si>
  <si>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r>
      <rPr>
        <sz val="14"/>
        <rFont val="方正小标宋简体"/>
        <charset val="134"/>
      </rPr>
      <t>T23200</t>
    </r>
    <r>
      <rPr>
        <sz val="14"/>
        <rFont val="微软雅黑"/>
        <charset val="134"/>
      </rPr>
      <t>附表</t>
    </r>
    <r>
      <rPr>
        <sz val="14"/>
        <rFont val="方正小标宋简体"/>
        <charset val="134"/>
      </rPr>
      <t>5-</t>
    </r>
    <r>
      <rPr>
        <sz val="14"/>
        <rFont val="微软雅黑"/>
        <charset val="134"/>
      </rPr>
      <t>扣除项目统计表</t>
    </r>
  </si>
  <si>
    <t>直接归集成本费用</t>
  </si>
  <si>
    <t>共同成本费用</t>
  </si>
  <si>
    <t>8=5+6+7</t>
  </si>
  <si>
    <t>9=4+8</t>
  </si>
  <si>
    <t>其中</t>
  </si>
  <si>
    <t>房地产开发成本</t>
  </si>
  <si>
    <t>计算扣除</t>
  </si>
  <si>
    <t>其它房地产开发费用</t>
  </si>
  <si>
    <t>与转让房地产有关的税金</t>
  </si>
  <si>
    <t>营业税</t>
  </si>
  <si>
    <t>城市维护建设税</t>
  </si>
  <si>
    <t>教育费附加</t>
  </si>
  <si>
    <t>地方教育费附加</t>
  </si>
  <si>
    <t>其他税（费）</t>
  </si>
  <si>
    <t>财政部规定的其他扣除项目</t>
  </si>
  <si>
    <t>代收费用</t>
  </si>
  <si>
    <r>
      <rPr>
        <sz val="16"/>
        <color rgb="FF000000"/>
        <rFont val="方正小标宋简体"/>
        <charset val="134"/>
      </rPr>
      <t>T22100</t>
    </r>
    <r>
      <rPr>
        <sz val="16"/>
        <color rgb="FF000000"/>
        <rFont val="微软雅黑"/>
        <charset val="134"/>
      </rPr>
      <t>附表</t>
    </r>
    <r>
      <rPr>
        <sz val="16"/>
        <color rgb="FF000000"/>
        <rFont val="方正小标宋简体"/>
        <charset val="134"/>
      </rPr>
      <t>6-</t>
    </r>
    <r>
      <rPr>
        <sz val="16"/>
        <color rgb="FF000000"/>
        <rFont val="微软雅黑"/>
        <charset val="134"/>
      </rPr>
      <t>收入明细采集底稿</t>
    </r>
  </si>
  <si>
    <t>幢号</t>
  </si>
  <si>
    <t>单元号</t>
  </si>
  <si>
    <t>*楼层</t>
  </si>
  <si>
    <t>*房号</t>
  </si>
  <si>
    <t>*房屋类型</t>
  </si>
  <si>
    <t>*房屋状态</t>
  </si>
  <si>
    <t>*收入类型</t>
  </si>
  <si>
    <t>（网签）合同编号</t>
  </si>
  <si>
    <t>*合同签订时间</t>
  </si>
  <si>
    <t>合同金额</t>
  </si>
  <si>
    <t>购房人姓名</t>
  </si>
  <si>
    <t>合同建筑面积（㎡）</t>
  </si>
  <si>
    <t>合同套内面积（㎡）</t>
  </si>
  <si>
    <t>*实测建筑面积（㎡）</t>
  </si>
  <si>
    <t>实测套内面积（㎡）</t>
  </si>
  <si>
    <t>朝向</t>
  </si>
  <si>
    <t>发票代码</t>
  </si>
  <si>
    <t>发票号码</t>
  </si>
  <si>
    <t>发票金额</t>
  </si>
  <si>
    <t>发票税额</t>
  </si>
  <si>
    <t>发票价税合计</t>
  </si>
  <si>
    <t>*土地增值税应税收入</t>
  </si>
  <si>
    <t>土地增值税应税单价</t>
  </si>
  <si>
    <t>情况说明</t>
  </si>
  <si>
    <t>13≥14</t>
  </si>
  <si>
    <t>15≥16</t>
  </si>
  <si>
    <t>22=20+21</t>
  </si>
  <si>
    <t>24=23÷15</t>
  </si>
  <si>
    <r>
      <rPr>
        <sz val="16"/>
        <rFont val="方正小标宋简体"/>
        <charset val="134"/>
      </rPr>
      <t>T23210</t>
    </r>
    <r>
      <rPr>
        <sz val="16"/>
        <rFont val="微软雅黑"/>
        <charset val="134"/>
      </rPr>
      <t>附表</t>
    </r>
    <r>
      <rPr>
        <sz val="16"/>
        <rFont val="方正小标宋简体"/>
        <charset val="134"/>
      </rPr>
      <t>7-</t>
    </r>
    <r>
      <rPr>
        <sz val="16"/>
        <rFont val="微软雅黑"/>
        <charset val="134"/>
      </rPr>
      <t>扣除项目明细采集底稿</t>
    </r>
  </si>
  <si>
    <t>*记账日期</t>
  </si>
  <si>
    <t>*记账凭证号码</t>
  </si>
  <si>
    <t>*科目名称</t>
  </si>
  <si>
    <t>*二级科目名称</t>
  </si>
  <si>
    <t>内容摘要</t>
  </si>
  <si>
    <t>合同编号</t>
  </si>
  <si>
    <t>合同名称</t>
  </si>
  <si>
    <t>合同类别</t>
  </si>
  <si>
    <t>收款单位</t>
  </si>
  <si>
    <t>*凭据类型</t>
  </si>
  <si>
    <t>发票(凭据)代码</t>
  </si>
  <si>
    <t>发票(凭据)号码</t>
  </si>
  <si>
    <t>*发票(凭据)金额</t>
  </si>
  <si>
    <t>*付款金额</t>
  </si>
  <si>
    <t>*记账金额</t>
  </si>
  <si>
    <t>申报调整金额</t>
  </si>
  <si>
    <t>*准予扣除的记账金额</t>
  </si>
  <si>
    <t>分摊至本项目比例</t>
  </si>
  <si>
    <t>*本项目扣除金额</t>
  </si>
  <si>
    <t>*成本对象类型</t>
  </si>
  <si>
    <t>*普通住宅分摊金额</t>
  </si>
  <si>
    <t>*非普通住宅分摊金额</t>
  </si>
  <si>
    <t>*其他类型房产分摊金额</t>
  </si>
  <si>
    <t>*分摊方法</t>
  </si>
  <si>
    <t>分摊方法说明</t>
  </si>
  <si>
    <t>*是否可加计扣除</t>
  </si>
  <si>
    <t>17=15+16</t>
  </si>
  <si>
    <t>18=19÷17</t>
  </si>
  <si>
    <t>19≤17</t>
  </si>
  <si>
    <t>23=19-22-24</t>
  </si>
  <si>
    <t>可加计</t>
  </si>
  <si>
    <r>
      <rPr>
        <sz val="16"/>
        <color rgb="FF000000"/>
        <rFont val="方正小标宋简体"/>
        <charset val="134"/>
      </rPr>
      <t>T23220</t>
    </r>
    <r>
      <rPr>
        <sz val="16"/>
        <color rgb="FF000000"/>
        <rFont val="微软雅黑"/>
        <charset val="134"/>
      </rPr>
      <t>附表</t>
    </r>
    <r>
      <rPr>
        <sz val="16"/>
        <color rgb="FF000000"/>
        <rFont val="方正小标宋简体"/>
        <charset val="134"/>
      </rPr>
      <t>8-</t>
    </r>
    <r>
      <rPr>
        <sz val="16"/>
        <color rgb="FF000000"/>
        <rFont val="微软雅黑"/>
        <charset val="134"/>
      </rPr>
      <t>合同明细采集底稿</t>
    </r>
  </si>
  <si>
    <t>*合同编号</t>
  </si>
  <si>
    <t>*合同名称</t>
  </si>
  <si>
    <t>*收款单位</t>
  </si>
  <si>
    <t>关联关系（是否）</t>
  </si>
  <si>
    <t>合同签订日期</t>
  </si>
  <si>
    <t>结算金额</t>
  </si>
  <si>
    <r>
      <rPr>
        <sz val="16"/>
        <rFont val="方正小标宋简体"/>
        <charset val="134"/>
      </rPr>
      <t>T30000</t>
    </r>
    <r>
      <rPr>
        <sz val="16"/>
        <rFont val="Microsoft YaHei UI"/>
        <charset val="134"/>
      </rPr>
      <t>工程造价采集表</t>
    </r>
  </si>
  <si>
    <t>清算项目造价信息</t>
  </si>
  <si>
    <t>数据来源</t>
  </si>
  <si>
    <t>分类</t>
  </si>
  <si>
    <t>拓展字段1</t>
  </si>
  <si>
    <t>拓展字段2</t>
  </si>
  <si>
    <t>拓展字段3</t>
  </si>
  <si>
    <t>拓展字段4</t>
  </si>
  <si>
    <t>拓展字段5</t>
  </si>
  <si>
    <t>拓展字段6</t>
  </si>
  <si>
    <t>拓展字段7</t>
  </si>
  <si>
    <t>拓展字段8</t>
  </si>
  <si>
    <t>拓展字段9</t>
  </si>
  <si>
    <t>拓展字段10</t>
  </si>
  <si>
    <t>拓展字段11</t>
  </si>
  <si>
    <t>填报数据</t>
  </si>
  <si>
    <t>单位</t>
  </si>
  <si>
    <t>㎡</t>
  </si>
  <si>
    <t>数量</t>
  </si>
  <si>
    <t>本项目扣除金额</t>
  </si>
  <si>
    <t>单位扣除金额</t>
  </si>
  <si>
    <t>主体建筑基础造价信息</t>
  </si>
  <si>
    <t>楼栋类型</t>
  </si>
  <si>
    <t>房屋结构</t>
  </si>
  <si>
    <t>地质结构</t>
  </si>
  <si>
    <t>桩基类型</t>
  </si>
  <si>
    <t>交付标准</t>
  </si>
  <si>
    <t>外立面类型</t>
  </si>
  <si>
    <t>地上层数</t>
  </si>
  <si>
    <t>地下层数</t>
  </si>
  <si>
    <t>地上建筑面积</t>
  </si>
  <si>
    <t>地下建筑面积</t>
  </si>
  <si>
    <t>其中：人防设施面积</t>
  </si>
  <si>
    <t>总建筑面积</t>
  </si>
  <si>
    <t>地上总层高（m)</t>
  </si>
  <si>
    <t>开工日期</t>
  </si>
  <si>
    <t>竣工日期</t>
  </si>
  <si>
    <t>-1层</t>
  </si>
  <si>
    <t>-2层</t>
  </si>
  <si>
    <t>-3层及以下</t>
  </si>
  <si>
    <t>取得土地使用权所支付的金额</t>
  </si>
  <si>
    <t>土地征用及拆迁补偿费</t>
  </si>
  <si>
    <t>前期工程费</t>
  </si>
  <si>
    <t>建筑安装工程费</t>
  </si>
  <si>
    <t>基础设施费</t>
  </si>
  <si>
    <t>公共配套设施费</t>
  </si>
  <si>
    <t>开发间接费用</t>
  </si>
  <si>
    <t>房地产开发费用</t>
  </si>
  <si>
    <t>凭据类型</t>
  </si>
  <si>
    <t>二分法</t>
  </si>
  <si>
    <t>支付的土地出让金额</t>
  </si>
  <si>
    <t>土地征用费用</t>
  </si>
  <si>
    <t>规划费用</t>
  </si>
  <si>
    <t>桩基础工程费用</t>
  </si>
  <si>
    <t>开发小区内道路工程支出</t>
  </si>
  <si>
    <t>居委会用房费用</t>
  </si>
  <si>
    <t>管理人员工资</t>
  </si>
  <si>
    <t>利息支出</t>
  </si>
  <si>
    <t>非税收入票据</t>
  </si>
  <si>
    <t>不可选择</t>
  </si>
  <si>
    <t>占地面积法</t>
  </si>
  <si>
    <t>建设工程合同</t>
  </si>
  <si>
    <t>住宅楼</t>
  </si>
  <si>
    <t>砖混</t>
  </si>
  <si>
    <t>均质地质</t>
  </si>
  <si>
    <t>天然基础</t>
  </si>
  <si>
    <t>精装交付</t>
  </si>
  <si>
    <t>标准外立面</t>
  </si>
  <si>
    <t>支付的地价款金额</t>
  </si>
  <si>
    <t>耕地占用税</t>
  </si>
  <si>
    <t>设计费用</t>
  </si>
  <si>
    <t>地下室工程费用</t>
  </si>
  <si>
    <t>供水工程支出</t>
  </si>
  <si>
    <t>派出所用房费用</t>
  </si>
  <si>
    <t>职工福利费</t>
  </si>
  <si>
    <t>增值税专用发票</t>
  </si>
  <si>
    <t>总建筑面积法</t>
  </si>
  <si>
    <t>不可加计</t>
  </si>
  <si>
    <t>买卖合同</t>
  </si>
  <si>
    <t>商业楼</t>
  </si>
  <si>
    <t>框架</t>
  </si>
  <si>
    <t>淤泥地质</t>
  </si>
  <si>
    <t>预制管桩</t>
  </si>
  <si>
    <t>简装交付</t>
  </si>
  <si>
    <t>玻璃幕墙</t>
  </si>
  <si>
    <t>其他合理方法</t>
  </si>
  <si>
    <t>可售建筑面积法（二分法）</t>
  </si>
  <si>
    <t>交纳的有关税费</t>
  </si>
  <si>
    <t>劳动力安置费</t>
  </si>
  <si>
    <t>项目可行性研究费用</t>
  </si>
  <si>
    <t>地上建筑工程费用</t>
  </si>
  <si>
    <t>供电工程支出</t>
  </si>
  <si>
    <t>会所费用</t>
  </si>
  <si>
    <t>折旧费</t>
  </si>
  <si>
    <t>增值税普通发票</t>
  </si>
  <si>
    <t>承揽合同</t>
  </si>
  <si>
    <t>商业裙楼</t>
  </si>
  <si>
    <t>框架剪力墙</t>
  </si>
  <si>
    <t>岩溶地质</t>
  </si>
  <si>
    <t>旋挖桩</t>
  </si>
  <si>
    <t>毛坯交付</t>
  </si>
  <si>
    <t>干挂石材</t>
  </si>
  <si>
    <t>安置动迁用房支出</t>
  </si>
  <si>
    <t>水文费用</t>
  </si>
  <si>
    <t>户内装修费用</t>
  </si>
  <si>
    <t>供气工程支出</t>
  </si>
  <si>
    <t>非机动车库（场）费用</t>
  </si>
  <si>
    <t>修理费</t>
  </si>
  <si>
    <t>营业税发票</t>
  </si>
  <si>
    <t>计容建筑面积法</t>
  </si>
  <si>
    <t>产权转移书据</t>
  </si>
  <si>
    <t>独栋别墅</t>
  </si>
  <si>
    <t>钢混</t>
  </si>
  <si>
    <t>其他地质</t>
  </si>
  <si>
    <t>钻（冲）孔桩</t>
  </si>
  <si>
    <t>其他外立面</t>
  </si>
  <si>
    <t>拆迁补偿费</t>
  </si>
  <si>
    <t>地质费用</t>
  </si>
  <si>
    <t>高档外立面工程费用</t>
  </si>
  <si>
    <t>排污工程支出</t>
  </si>
  <si>
    <t>地下人防设施费用</t>
  </si>
  <si>
    <t>办公费</t>
  </si>
  <si>
    <t>完税凭证</t>
  </si>
  <si>
    <t>层高系数法</t>
  </si>
  <si>
    <t>技术合同</t>
  </si>
  <si>
    <t>联排别墅</t>
  </si>
  <si>
    <t>全钢</t>
  </si>
  <si>
    <t>其他类型桩基</t>
  </si>
  <si>
    <t>其他营业性房产</t>
  </si>
  <si>
    <t>其他土地征用及拆迁补偿费</t>
  </si>
  <si>
    <t>勘探费用</t>
  </si>
  <si>
    <t>其他建筑安装工程费</t>
  </si>
  <si>
    <t>排洪工程支出</t>
  </si>
  <si>
    <t>物业管理场所费用</t>
  </si>
  <si>
    <t>水电费</t>
  </si>
  <si>
    <t>其他凭据</t>
  </si>
  <si>
    <t>运输合同</t>
  </si>
  <si>
    <t>配套设施</t>
  </si>
  <si>
    <t>预制装配</t>
  </si>
  <si>
    <t>居委会用房</t>
  </si>
  <si>
    <t>测绘费用</t>
  </si>
  <si>
    <t>通讯工程支出</t>
  </si>
  <si>
    <t>变电站费用</t>
  </si>
  <si>
    <t>劳动保护费</t>
  </si>
  <si>
    <t>未取得凭据</t>
  </si>
  <si>
    <t>借款合同</t>
  </si>
  <si>
    <t>其他类型楼栋</t>
  </si>
  <si>
    <t>派出所用房</t>
  </si>
  <si>
    <t>七通一平支出</t>
  </si>
  <si>
    <t>照明工程支出</t>
  </si>
  <si>
    <t>热力站费用</t>
  </si>
  <si>
    <t>周转房摊销费</t>
  </si>
  <si>
    <t>融资租赁合同</t>
  </si>
  <si>
    <t>会所</t>
  </si>
  <si>
    <t>其他前期工程费</t>
  </si>
  <si>
    <t>环卫工程支出</t>
  </si>
  <si>
    <t>水厂费用</t>
  </si>
  <si>
    <t>其他发生的间接费用</t>
  </si>
  <si>
    <t>租赁合同</t>
  </si>
  <si>
    <t>非机动车库（场）</t>
  </si>
  <si>
    <t>绿化费用</t>
  </si>
  <si>
    <t>文体场馆费用</t>
  </si>
  <si>
    <t>保管合同</t>
  </si>
  <si>
    <t>地下人防设施</t>
  </si>
  <si>
    <t>其他设施工程发生的支出</t>
  </si>
  <si>
    <t>学校费用</t>
  </si>
  <si>
    <t>仓储合同</t>
  </si>
  <si>
    <t>物业管理场所</t>
  </si>
  <si>
    <t>幼儿园费用</t>
  </si>
  <si>
    <t>财产保险合同</t>
  </si>
  <si>
    <t>变电站</t>
  </si>
  <si>
    <t>托儿所费用</t>
  </si>
  <si>
    <t>其他合同</t>
  </si>
  <si>
    <t>热力站</t>
  </si>
  <si>
    <t>医院费用</t>
  </si>
  <si>
    <t>水厂</t>
  </si>
  <si>
    <t>邮电通讯费用</t>
  </si>
  <si>
    <t>文体场馆</t>
  </si>
  <si>
    <t>其他非营业性房产费用</t>
  </si>
  <si>
    <t>学校</t>
  </si>
  <si>
    <t>幼儿园</t>
  </si>
  <si>
    <t>托儿所</t>
  </si>
  <si>
    <t>医院</t>
  </si>
  <si>
    <t>邮电通讯</t>
  </si>
  <si>
    <t>其他非营业性房产</t>
  </si>
</sst>
</file>

<file path=xl/styles.xml><?xml version="1.0" encoding="utf-8"?>
<styleSheet xmlns="http://schemas.openxmlformats.org/spreadsheetml/2006/main">
  <numFmts count="10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/m/d;@"/>
    <numFmt numFmtId="43" formatCode="_ * #,##0.00_ ;_ * \-#,##0.00_ ;_ * &quot;-&quot;??_ ;_ @_ "/>
    <numFmt numFmtId="177" formatCode="0.00_);[Red]\(0.00\)"/>
    <numFmt numFmtId="178" formatCode="_ * #,##0_ ;_ * \-#,##0_ ;_ * &quot;-&quot;??_ ;_ @_ "/>
    <numFmt numFmtId="179" formatCode="0.00_ "/>
    <numFmt numFmtId="180" formatCode="0.0000%"/>
    <numFmt numFmtId="181" formatCode="0.000000%"/>
  </numFmts>
  <fonts count="77">
    <font>
      <sz val="12"/>
      <name val="宋体"/>
      <charset val="134"/>
    </font>
    <font>
      <sz val="10"/>
      <name val="宋体"/>
      <charset val="134"/>
      <scheme val="minor"/>
    </font>
    <font>
      <sz val="10"/>
      <color rgb="FF7030A0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6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name val="宋体"/>
      <charset val="134"/>
    </font>
    <font>
      <sz val="16"/>
      <color rgb="FF000000"/>
      <name val="方正小标宋简体"/>
      <charset val="134"/>
    </font>
    <font>
      <sz val="16"/>
      <color indexed="8"/>
      <name val="方正小标宋简体"/>
      <charset val="134"/>
    </font>
    <font>
      <sz val="11"/>
      <color rgb="FF000000"/>
      <name val="Times New Roman"/>
      <charset val="134"/>
    </font>
    <font>
      <b/>
      <sz val="11"/>
      <name val="宋体"/>
      <charset val="134"/>
    </font>
    <font>
      <b/>
      <sz val="11"/>
      <color rgb="FF000000"/>
      <name val="宋体"/>
      <charset val="134"/>
    </font>
    <font>
      <sz val="10"/>
      <color indexed="8"/>
      <name val="宋体"/>
      <charset val="134"/>
    </font>
    <font>
      <b/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0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b/>
      <sz val="9"/>
      <name val="宋体"/>
      <charset val="134"/>
    </font>
    <font>
      <sz val="14"/>
      <name val="方正小标宋简体"/>
      <charset val="134"/>
    </font>
    <font>
      <sz val="10"/>
      <color theme="4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b/>
      <sz val="11"/>
      <color rgb="FF000000"/>
      <name val="Times New Roman"/>
      <charset val="134"/>
    </font>
    <font>
      <b/>
      <sz val="10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name val="Times New Roman"/>
      <charset val="134"/>
    </font>
    <font>
      <sz val="12"/>
      <color rgb="FFFF0000"/>
      <name val="宋体"/>
      <charset val="134"/>
    </font>
    <font>
      <sz val="20"/>
      <name val="方正小标宋简体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b/>
      <sz val="14"/>
      <color indexed="8"/>
      <name val="宋体"/>
      <charset val="134"/>
    </font>
    <font>
      <sz val="14"/>
      <color rgb="FF232323"/>
      <name val="宋体"/>
      <charset val="134"/>
    </font>
    <font>
      <b/>
      <sz val="12"/>
      <color theme="1"/>
      <name val="宋体"/>
      <charset val="134"/>
    </font>
    <font>
      <sz val="26"/>
      <color theme="1"/>
      <name val="方正小标宋简体"/>
      <charset val="134"/>
    </font>
    <font>
      <sz val="20"/>
      <color theme="1"/>
      <name val="宋体"/>
      <charset val="134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sz val="14"/>
      <color theme="1"/>
      <name val="Calibri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6"/>
      <name val="Microsoft YaHei UI"/>
      <charset val="134"/>
    </font>
    <font>
      <sz val="16"/>
      <color rgb="FF000000"/>
      <name val="微软雅黑"/>
      <charset val="134"/>
    </font>
    <font>
      <sz val="16"/>
      <name val="微软雅黑"/>
      <charset val="134"/>
    </font>
    <font>
      <sz val="14"/>
      <name val="微软雅黑"/>
      <charset val="134"/>
    </font>
    <font>
      <sz val="20"/>
      <name val="微软雅黑"/>
      <charset val="134"/>
    </font>
    <font>
      <sz val="26"/>
      <color theme="1"/>
      <name val="微软雅黑"/>
      <charset val="134"/>
    </font>
    <font>
      <sz val="14"/>
      <color theme="1"/>
      <name val="Times New Roman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 tint="-0.149967955565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rgb="FF000000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24" fillId="0" borderId="0" applyFont="0" applyFill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1" fillId="11" borderId="11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4" fillId="23" borderId="14" applyNumberFormat="0" applyFont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66" fillId="0" borderId="16" applyNumberFormat="0" applyFill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56" fillId="18" borderId="13" applyNumberFormat="0" applyAlignment="0" applyProtection="0">
      <alignment vertical="center"/>
    </xf>
    <xf numFmtId="0" fontId="68" fillId="18" borderId="11" applyNumberFormat="0" applyAlignment="0" applyProtection="0">
      <alignment vertical="center"/>
    </xf>
    <xf numFmtId="0" fontId="54" fillId="14" borderId="12" applyNumberFormat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60" fillId="0" borderId="15" applyNumberFormat="0" applyFill="0" applyAlignment="0" applyProtection="0">
      <alignment vertical="center"/>
    </xf>
    <xf numFmtId="0" fontId="69" fillId="0" borderId="18" applyNumberFormat="0" applyFill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2" fillId="3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2" fillId="33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3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5" fillId="0" borderId="0">
      <alignment vertical="center"/>
    </xf>
    <xf numFmtId="0" fontId="50" fillId="7" borderId="0" applyNumberFormat="0" applyBorder="0" applyAlignment="0" applyProtection="0">
      <alignment vertical="center"/>
    </xf>
    <xf numFmtId="0" fontId="52" fillId="27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0" fillId="0" borderId="0"/>
  </cellStyleXfs>
  <cellXfs count="3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5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44" applyFont="1" applyAlignment="1">
      <alignment vertical="center" wrapText="1"/>
    </xf>
    <xf numFmtId="0" fontId="6" fillId="0" borderId="0" xfId="44" applyFont="1" applyAlignment="1">
      <alignment vertical="center" wrapText="1"/>
    </xf>
    <xf numFmtId="0" fontId="7" fillId="0" borderId="0" xfId="44" applyFont="1">
      <alignment vertical="center"/>
    </xf>
    <xf numFmtId="0" fontId="6" fillId="0" borderId="0" xfId="44" applyFont="1" applyAlignment="1">
      <alignment horizontal="center" vertical="center" wrapText="1"/>
    </xf>
    <xf numFmtId="0" fontId="5" fillId="0" borderId="0" xfId="44" applyFont="1" applyAlignment="1">
      <alignment horizontal="center" vertical="center" wrapText="1"/>
    </xf>
    <xf numFmtId="43" fontId="5" fillId="0" borderId="0" xfId="8" applyFont="1" applyAlignment="1">
      <alignment horizontal="center" vertical="center" wrapText="1"/>
    </xf>
    <xf numFmtId="176" fontId="5" fillId="0" borderId="0" xfId="44" applyNumberFormat="1" applyFont="1" applyAlignment="1">
      <alignment vertical="center" wrapText="1"/>
    </xf>
    <xf numFmtId="176" fontId="5" fillId="0" borderId="0" xfId="44" applyNumberFormat="1" applyFont="1" applyAlignment="1">
      <alignment horizontal="center" vertical="center" wrapText="1"/>
    </xf>
    <xf numFmtId="0" fontId="0" fillId="0" borderId="0" xfId="44">
      <alignment vertical="center"/>
    </xf>
    <xf numFmtId="0" fontId="8" fillId="0" borderId="0" xfId="44" applyFont="1" applyAlignment="1">
      <alignment horizontal="center" vertical="center" wrapText="1"/>
    </xf>
    <xf numFmtId="0" fontId="5" fillId="0" borderId="3" xfId="44" applyFont="1" applyBorder="1" applyAlignment="1">
      <alignment horizontal="center" vertical="center" wrapText="1"/>
    </xf>
    <xf numFmtId="0" fontId="6" fillId="2" borderId="4" xfId="44" applyFont="1" applyFill="1" applyBorder="1" applyAlignment="1">
      <alignment horizontal="center" vertical="center" wrapText="1"/>
    </xf>
    <xf numFmtId="0" fontId="6" fillId="2" borderId="5" xfId="44" applyFont="1" applyFill="1" applyBorder="1" applyAlignment="1">
      <alignment horizontal="center" vertical="center" wrapText="1"/>
    </xf>
    <xf numFmtId="0" fontId="3" fillId="2" borderId="1" xfId="44" applyFont="1" applyFill="1" applyBorder="1" applyAlignment="1">
      <alignment horizontal="center" vertical="center"/>
    </xf>
    <xf numFmtId="0" fontId="3" fillId="2" borderId="6" xfId="44" applyFont="1" applyFill="1" applyBorder="1" applyAlignment="1">
      <alignment horizontal="center" vertical="center" wrapText="1"/>
    </xf>
    <xf numFmtId="0" fontId="3" fillId="2" borderId="1" xfId="44" applyFont="1" applyFill="1" applyBorder="1" applyAlignment="1">
      <alignment horizontal="center" vertical="center" wrapText="1"/>
    </xf>
    <xf numFmtId="0" fontId="3" fillId="2" borderId="7" xfId="44" applyFont="1" applyFill="1" applyBorder="1" applyAlignment="1">
      <alignment horizontal="center" vertical="center" wrapText="1"/>
    </xf>
    <xf numFmtId="0" fontId="3" fillId="2" borderId="8" xfId="44" applyFont="1" applyFill="1" applyBorder="1" applyAlignment="1">
      <alignment horizontal="center" vertical="center" wrapText="1"/>
    </xf>
    <xf numFmtId="0" fontId="6" fillId="3" borderId="1" xfId="44" applyFont="1" applyFill="1" applyBorder="1" applyAlignment="1">
      <alignment horizontal="center" vertical="center" wrapText="1"/>
    </xf>
    <xf numFmtId="0" fontId="1" fillId="3" borderId="1" xfId="44" applyFont="1" applyFill="1" applyBorder="1" applyAlignment="1">
      <alignment horizontal="center" vertical="center" wrapText="1"/>
    </xf>
    <xf numFmtId="43" fontId="1" fillId="3" borderId="1" xfId="8" applyFont="1" applyFill="1" applyBorder="1" applyAlignment="1">
      <alignment horizontal="center" vertical="center" wrapText="1"/>
    </xf>
    <xf numFmtId="0" fontId="1" fillId="3" borderId="1" xfId="8" applyNumberFormat="1" applyFont="1" applyFill="1" applyBorder="1" applyAlignment="1">
      <alignment horizontal="center" vertical="center" wrapText="1"/>
    </xf>
    <xf numFmtId="43" fontId="1" fillId="3" borderId="1" xfId="8" applyFont="1" applyFill="1" applyBorder="1" applyAlignment="1">
      <alignment vertical="center" wrapText="1"/>
    </xf>
    <xf numFmtId="0" fontId="3" fillId="4" borderId="1" xfId="44" applyFont="1" applyFill="1" applyBorder="1" applyAlignment="1">
      <alignment horizontal="center" vertical="center" wrapText="1"/>
    </xf>
    <xf numFmtId="176" fontId="9" fillId="4" borderId="1" xfId="44" applyNumberFormat="1" applyFont="1" applyFill="1" applyBorder="1" applyAlignment="1">
      <alignment horizontal="center" vertical="center" wrapText="1"/>
    </xf>
    <xf numFmtId="49" fontId="1" fillId="3" borderId="1" xfId="44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1" fillId="3" borderId="1" xfId="44" applyFont="1" applyFill="1" applyBorder="1" applyAlignment="1">
      <alignment vertical="center" wrapText="1"/>
    </xf>
    <xf numFmtId="176" fontId="10" fillId="3" borderId="1" xfId="44" applyNumberFormat="1" applyFont="1" applyFill="1" applyBorder="1" applyAlignment="1">
      <alignment vertical="center" wrapText="1"/>
    </xf>
    <xf numFmtId="0" fontId="5" fillId="3" borderId="1" xfId="44" applyFont="1" applyFill="1" applyBorder="1" applyAlignment="1">
      <alignment vertical="center" wrapText="1"/>
    </xf>
    <xf numFmtId="176" fontId="1" fillId="3" borderId="1" xfId="44" applyNumberFormat="1" applyFont="1" applyFill="1" applyBorder="1" applyAlignment="1">
      <alignment vertical="center" wrapText="1"/>
    </xf>
    <xf numFmtId="177" fontId="3" fillId="2" borderId="1" xfId="44" applyNumberFormat="1" applyFont="1" applyFill="1" applyBorder="1" applyAlignment="1">
      <alignment horizontal="center" vertical="center" wrapText="1"/>
    </xf>
    <xf numFmtId="49" fontId="3" fillId="4" borderId="1" xfId="44" applyNumberFormat="1" applyFont="1" applyFill="1" applyBorder="1" applyAlignment="1">
      <alignment horizontal="center" vertical="center" wrapText="1"/>
    </xf>
    <xf numFmtId="178" fontId="1" fillId="3" borderId="1" xfId="8" applyNumberFormat="1" applyFont="1" applyFill="1" applyBorder="1" applyAlignment="1">
      <alignment horizontal="center" vertical="center" wrapText="1"/>
    </xf>
    <xf numFmtId="0" fontId="3" fillId="4" borderId="6" xfId="44" applyFont="1" applyFill="1" applyBorder="1" applyAlignment="1">
      <alignment horizontal="center" vertical="center" wrapText="1"/>
    </xf>
    <xf numFmtId="176" fontId="3" fillId="4" borderId="1" xfId="44" applyNumberFormat="1" applyFont="1" applyFill="1" applyBorder="1" applyAlignment="1">
      <alignment horizontal="center" vertical="center" wrapText="1"/>
    </xf>
    <xf numFmtId="0" fontId="3" fillId="4" borderId="8" xfId="44" applyFont="1" applyFill="1" applyBorder="1" applyAlignment="1">
      <alignment horizontal="center" vertical="center" wrapText="1"/>
    </xf>
    <xf numFmtId="0" fontId="5" fillId="0" borderId="0" xfId="0" applyFont="1" applyAlignment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3" fontId="0" fillId="0" borderId="0" xfId="8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3" fontId="13" fillId="0" borderId="0" xfId="8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43" fontId="14" fillId="0" borderId="0" xfId="8" applyFont="1" applyFill="1" applyAlignment="1">
      <alignment horizontal="center"/>
    </xf>
    <xf numFmtId="0" fontId="15" fillId="2" borderId="6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43" fontId="15" fillId="2" borderId="1" xfId="8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5" fillId="0" borderId="1" xfId="0" applyFont="1" applyBorder="1">
      <alignment vertical="center"/>
    </xf>
    <xf numFmtId="176" fontId="5" fillId="0" borderId="1" xfId="0" applyNumberFormat="1" applyFont="1" applyBorder="1">
      <alignment vertical="center"/>
    </xf>
    <xf numFmtId="43" fontId="5" fillId="0" borderId="1" xfId="8" applyFont="1" applyFill="1" applyBorder="1" applyAlignment="1">
      <alignment vertical="center"/>
    </xf>
    <xf numFmtId="0" fontId="5" fillId="0" borderId="0" xfId="44" applyFont="1">
      <alignment vertical="center"/>
    </xf>
    <xf numFmtId="0" fontId="0" fillId="0" borderId="0" xfId="44" applyAlignment="1">
      <alignment horizontal="center" vertical="center" wrapText="1"/>
    </xf>
    <xf numFmtId="0" fontId="0" fillId="0" borderId="0" xfId="44" applyAlignment="1">
      <alignment horizontal="left" vertical="center" wrapText="1"/>
    </xf>
    <xf numFmtId="0" fontId="0" fillId="0" borderId="0" xfId="44" applyAlignment="1">
      <alignment horizontal="center" vertical="center"/>
    </xf>
    <xf numFmtId="43" fontId="0" fillId="0" borderId="0" xfId="8" applyFont="1" applyFill="1" applyBorder="1" applyAlignment="1" applyProtection="1">
      <alignment vertical="center"/>
    </xf>
    <xf numFmtId="10" fontId="0" fillId="0" borderId="0" xfId="11" applyNumberFormat="1" applyFont="1" applyFill="1" applyBorder="1" applyAlignment="1" applyProtection="1">
      <alignment vertical="center"/>
    </xf>
    <xf numFmtId="43" fontId="0" fillId="0" borderId="0" xfId="8" applyFont="1" applyFill="1" applyBorder="1" applyAlignment="1" applyProtection="1">
      <alignment horizontal="right" vertical="center"/>
    </xf>
    <xf numFmtId="0" fontId="8" fillId="0" borderId="0" xfId="0" applyFont="1" applyAlignment="1">
      <alignment horizontal="center" vertical="center"/>
    </xf>
    <xf numFmtId="0" fontId="11" fillId="0" borderId="0" xfId="51" applyFont="1" applyAlignment="1">
      <alignment horizontal="center" vertical="center"/>
    </xf>
    <xf numFmtId="0" fontId="6" fillId="2" borderId="6" xfId="51" applyFont="1" applyFill="1" applyBorder="1" applyAlignment="1">
      <alignment horizontal="center" vertical="center" wrapText="1"/>
    </xf>
    <xf numFmtId="0" fontId="6" fillId="2" borderId="1" xfId="51" applyFont="1" applyFill="1" applyBorder="1" applyAlignment="1">
      <alignment horizontal="center" vertical="center" wrapText="1"/>
    </xf>
    <xf numFmtId="0" fontId="18" fillId="2" borderId="1" xfId="51" applyFont="1" applyFill="1" applyBorder="1" applyAlignment="1">
      <alignment horizontal="center" vertical="center" wrapText="1"/>
    </xf>
    <xf numFmtId="0" fontId="6" fillId="2" borderId="8" xfId="51" applyFont="1" applyFill="1" applyBorder="1" applyAlignment="1">
      <alignment horizontal="center" vertical="center" wrapText="1"/>
    </xf>
    <xf numFmtId="49" fontId="6" fillId="2" borderId="1" xfId="51" applyNumberFormat="1" applyFont="1" applyFill="1" applyBorder="1" applyAlignment="1">
      <alignment horizontal="center" vertical="center" wrapText="1"/>
    </xf>
    <xf numFmtId="0" fontId="5" fillId="0" borderId="1" xfId="51" applyFont="1" applyBorder="1" applyAlignment="1">
      <alignment horizontal="center" vertical="center" wrapText="1"/>
    </xf>
    <xf numFmtId="176" fontId="5" fillId="0" borderId="1" xfId="51" applyNumberFormat="1" applyFont="1" applyBorder="1" applyAlignment="1">
      <alignment horizontal="left" vertical="center" wrapText="1"/>
    </xf>
    <xf numFmtId="49" fontId="5" fillId="0" borderId="1" xfId="51" applyNumberFormat="1" applyFont="1" applyBorder="1" applyAlignment="1">
      <alignment horizontal="left" vertical="center" wrapText="1"/>
    </xf>
    <xf numFmtId="0" fontId="5" fillId="0" borderId="1" xfId="51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43" fontId="8" fillId="0" borderId="0" xfId="8" applyFont="1" applyFill="1" applyAlignment="1">
      <alignment horizontal="center" vertical="center"/>
    </xf>
    <xf numFmtId="43" fontId="11" fillId="0" borderId="0" xfId="8" applyFont="1" applyFill="1" applyBorder="1" applyAlignment="1" applyProtection="1">
      <alignment horizontal="center" vertical="center"/>
    </xf>
    <xf numFmtId="43" fontId="6" fillId="2" borderId="1" xfId="8" applyFont="1" applyFill="1" applyBorder="1" applyAlignment="1" applyProtection="1">
      <alignment horizontal="center" vertical="center" wrapText="1"/>
    </xf>
    <xf numFmtId="49" fontId="6" fillId="2" borderId="1" xfId="8" applyNumberFormat="1" applyFont="1" applyFill="1" applyBorder="1" applyAlignment="1" applyProtection="1">
      <alignment horizontal="center" vertical="center" wrapText="1"/>
    </xf>
    <xf numFmtId="43" fontId="5" fillId="0" borderId="1" xfId="8" applyFont="1" applyFill="1" applyBorder="1" applyAlignment="1" applyProtection="1">
      <alignment horizontal="left" vertical="center" wrapText="1"/>
    </xf>
    <xf numFmtId="10" fontId="8" fillId="0" borderId="0" xfId="11" applyNumberFormat="1" applyFont="1" applyFill="1" applyAlignment="1">
      <alignment horizontal="center" vertical="center"/>
    </xf>
    <xf numFmtId="43" fontId="8" fillId="0" borderId="0" xfId="8" applyFont="1" applyFill="1" applyAlignment="1">
      <alignment horizontal="right" vertical="center"/>
    </xf>
    <xf numFmtId="10" fontId="11" fillId="0" borderId="0" xfId="11" applyNumberFormat="1" applyFont="1" applyFill="1" applyBorder="1" applyAlignment="1" applyProtection="1">
      <alignment horizontal="center" vertical="center"/>
    </xf>
    <xf numFmtId="43" fontId="11" fillId="0" borderId="0" xfId="8" applyFont="1" applyFill="1" applyBorder="1" applyAlignment="1" applyProtection="1">
      <alignment horizontal="right" vertical="center"/>
    </xf>
    <xf numFmtId="10" fontId="6" fillId="2" borderId="1" xfId="11" applyNumberFormat="1" applyFont="1" applyFill="1" applyBorder="1" applyAlignment="1" applyProtection="1">
      <alignment horizontal="center" vertical="center" wrapText="1"/>
    </xf>
    <xf numFmtId="10" fontId="5" fillId="0" borderId="1" xfId="11" applyNumberFormat="1" applyFont="1" applyFill="1" applyBorder="1" applyAlignment="1" applyProtection="1">
      <alignment horizontal="left" vertical="center" wrapText="1"/>
    </xf>
    <xf numFmtId="0" fontId="5" fillId="0" borderId="1" xfId="51" applyFont="1" applyBorder="1" applyAlignment="1" applyProtection="1">
      <alignment horizontal="left" vertical="center" wrapText="1"/>
      <protection locked="0"/>
    </xf>
    <xf numFmtId="43" fontId="5" fillId="0" borderId="1" xfId="8" applyFont="1" applyFill="1" applyBorder="1" applyAlignment="1" applyProtection="1">
      <alignment horizontal="right" vertical="center" wrapText="1"/>
      <protection locked="0"/>
    </xf>
    <xf numFmtId="0" fontId="19" fillId="0" borderId="1" xfId="0" applyFont="1" applyBorder="1" applyAlignment="1">
      <alignment horizontal="center" vertical="center" wrapText="1"/>
    </xf>
    <xf numFmtId="0" fontId="5" fillId="0" borderId="1" xfId="44" applyFont="1" applyBorder="1" applyAlignment="1">
      <alignment horizontal="left" vertical="center" wrapText="1"/>
    </xf>
    <xf numFmtId="0" fontId="4" fillId="0" borderId="0" xfId="0" applyFont="1" applyAlignment="1"/>
    <xf numFmtId="0" fontId="20" fillId="0" borderId="0" xfId="0" applyFont="1" applyAlignment="1"/>
    <xf numFmtId="49" fontId="20" fillId="0" borderId="0" xfId="0" applyNumberFormat="1" applyFont="1" applyAlignment="1"/>
    <xf numFmtId="0" fontId="21" fillId="0" borderId="0" xfId="0" applyFont="1" applyAlignment="1">
      <alignment wrapText="1"/>
    </xf>
    <xf numFmtId="0" fontId="22" fillId="0" borderId="0" xfId="0" applyFont="1" applyAlignment="1"/>
    <xf numFmtId="0" fontId="23" fillId="0" borderId="0" xfId="0" applyFont="1" applyAlignment="1"/>
    <xf numFmtId="43" fontId="22" fillId="0" borderId="0" xfId="8" applyFont="1" applyFill="1" applyBorder="1" applyAlignment="1"/>
    <xf numFmtId="0" fontId="24" fillId="0" borderId="0" xfId="0" applyFont="1" applyAlignment="1"/>
    <xf numFmtId="0" fontId="12" fillId="0" borderId="0" xfId="0" applyFont="1" applyAlignment="1">
      <alignment horizontal="center"/>
    </xf>
    <xf numFmtId="179" fontId="25" fillId="2" borderId="6" xfId="0" applyNumberFormat="1" applyFont="1" applyFill="1" applyBorder="1" applyAlignment="1">
      <alignment horizontal="center" vertical="center" wrapText="1"/>
    </xf>
    <xf numFmtId="179" fontId="25" fillId="2" borderId="1" xfId="0" applyNumberFormat="1" applyFont="1" applyFill="1" applyBorder="1" applyAlignment="1">
      <alignment horizontal="center" vertical="center" wrapText="1"/>
    </xf>
    <xf numFmtId="179" fontId="25" fillId="2" borderId="8" xfId="0" applyNumberFormat="1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wrapText="1"/>
    </xf>
    <xf numFmtId="49" fontId="26" fillId="0" borderId="1" xfId="0" applyNumberFormat="1" applyFont="1" applyBorder="1" applyAlignment="1">
      <alignment wrapText="1"/>
    </xf>
    <xf numFmtId="0" fontId="27" fillId="0" borderId="1" xfId="0" applyFont="1" applyBorder="1" applyAlignment="1">
      <alignment wrapText="1"/>
    </xf>
    <xf numFmtId="49" fontId="27" fillId="0" borderId="1" xfId="0" applyNumberFormat="1" applyFont="1" applyBorder="1" applyAlignment="1">
      <alignment wrapText="1"/>
    </xf>
    <xf numFmtId="0" fontId="26" fillId="0" borderId="0" xfId="0" applyFont="1" applyAlignment="1"/>
    <xf numFmtId="0" fontId="19" fillId="0" borderId="0" xfId="0" applyFont="1" applyAlignment="1"/>
    <xf numFmtId="43" fontId="12" fillId="0" borderId="0" xfId="8" applyFont="1" applyFill="1" applyAlignment="1">
      <alignment horizontal="center"/>
    </xf>
    <xf numFmtId="179" fontId="18" fillId="2" borderId="1" xfId="0" applyNumberFormat="1" applyFont="1" applyFill="1" applyBorder="1" applyAlignment="1">
      <alignment horizontal="center" vertical="center" wrapText="1"/>
    </xf>
    <xf numFmtId="43" fontId="25" fillId="2" borderId="1" xfId="8" applyFont="1" applyFill="1" applyBorder="1" applyAlignment="1">
      <alignment horizontal="center" vertical="center" wrapText="1"/>
    </xf>
    <xf numFmtId="176" fontId="26" fillId="0" borderId="1" xfId="0" applyNumberFormat="1" applyFont="1" applyBorder="1" applyAlignment="1">
      <alignment wrapText="1"/>
    </xf>
    <xf numFmtId="43" fontId="26" fillId="0" borderId="1" xfId="8" applyFont="1" applyFill="1" applyBorder="1" applyAlignment="1">
      <alignment wrapText="1"/>
    </xf>
    <xf numFmtId="43" fontId="27" fillId="0" borderId="1" xfId="8" applyFont="1" applyFill="1" applyBorder="1" applyAlignment="1">
      <alignment wrapText="1"/>
    </xf>
    <xf numFmtId="176" fontId="27" fillId="0" borderId="1" xfId="0" applyNumberFormat="1" applyFont="1" applyBorder="1" applyAlignment="1">
      <alignment wrapText="1"/>
    </xf>
    <xf numFmtId="43" fontId="26" fillId="0" borderId="0" xfId="8" applyFont="1" applyFill="1" applyBorder="1" applyAlignment="1"/>
    <xf numFmtId="43" fontId="18" fillId="2" borderId="1" xfId="8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8" fillId="0" borderId="0" xfId="0" applyFont="1">
      <alignment vertical="center"/>
    </xf>
    <xf numFmtId="49" fontId="28" fillId="0" borderId="0" xfId="0" applyNumberFormat="1" applyFont="1">
      <alignment vertical="center"/>
    </xf>
    <xf numFmtId="43" fontId="0" fillId="0" borderId="0" xfId="8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43" fontId="29" fillId="0" borderId="0" xfId="8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3" fontId="5" fillId="0" borderId="0" xfId="8" applyFont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3" fontId="6" fillId="2" borderId="1" xfId="8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43" fontId="6" fillId="2" borderId="1" xfId="8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3" fontId="5" fillId="0" borderId="1" xfId="8" applyFont="1" applyBorder="1" applyAlignment="1">
      <alignment horizontal="center" vertical="center" wrapText="1"/>
    </xf>
    <xf numFmtId="43" fontId="5" fillId="0" borderId="1" xfId="8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3" fontId="5" fillId="0" borderId="1" xfId="8" applyFont="1" applyFill="1" applyBorder="1" applyAlignment="1">
      <alignment horizontal="center" vertical="center" wrapText="1"/>
    </xf>
    <xf numFmtId="43" fontId="5" fillId="0" borderId="1" xfId="8" applyFont="1" applyFill="1" applyBorder="1" applyAlignment="1">
      <alignment horizontal="center" vertical="center"/>
    </xf>
    <xf numFmtId="43" fontId="18" fillId="2" borderId="4" xfId="8" applyFont="1" applyFill="1" applyBorder="1" applyAlignment="1">
      <alignment horizontal="center" vertical="center"/>
    </xf>
    <xf numFmtId="43" fontId="18" fillId="2" borderId="5" xfId="8" applyFont="1" applyFill="1" applyBorder="1" applyAlignment="1">
      <alignment horizontal="center" vertical="center"/>
    </xf>
    <xf numFmtId="43" fontId="18" fillId="2" borderId="2" xfId="8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3" fontId="5" fillId="0" borderId="9" xfId="8" applyFont="1" applyBorder="1" applyAlignment="1">
      <alignment horizontal="center" vertical="center"/>
    </xf>
    <xf numFmtId="0" fontId="5" fillId="3" borderId="0" xfId="0" applyFont="1" applyFill="1" applyAlignment="1"/>
    <xf numFmtId="0" fontId="30" fillId="0" borderId="0" xfId="0" applyFont="1" applyAlignment="1"/>
    <xf numFmtId="0" fontId="0" fillId="0" borderId="0" xfId="0" applyAlignment="1"/>
    <xf numFmtId="9" fontId="0" fillId="0" borderId="0" xfId="11" applyFont="1" applyAlignment="1"/>
    <xf numFmtId="0" fontId="3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center"/>
    </xf>
    <xf numFmtId="43" fontId="0" fillId="0" borderId="0" xfId="8" applyFont="1" applyFill="1" applyBorder="1" applyAlignment="1"/>
    <xf numFmtId="43" fontId="8" fillId="0" borderId="0" xfId="8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43" fontId="5" fillId="0" borderId="0" xfId="8" applyFont="1" applyFill="1" applyAlignment="1">
      <alignment horizontal="center"/>
    </xf>
    <xf numFmtId="0" fontId="25" fillId="2" borderId="6" xfId="0" applyFont="1" applyFill="1" applyBorder="1" applyAlignment="1">
      <alignment horizontal="center" vertical="center" wrapText="1"/>
    </xf>
    <xf numFmtId="49" fontId="25" fillId="2" borderId="6" xfId="0" applyNumberFormat="1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49" fontId="25" fillId="2" borderId="8" xfId="0" applyNumberFormat="1" applyFont="1" applyFill="1" applyBorder="1" applyAlignment="1">
      <alignment horizontal="center" vertical="center" wrapText="1"/>
    </xf>
    <xf numFmtId="0" fontId="6" fillId="0" borderId="6" xfId="5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3" fontId="19" fillId="0" borderId="1" xfId="8" applyFont="1" applyFill="1" applyBorder="1" applyAlignment="1">
      <alignment vertical="center" wrapText="1"/>
    </xf>
    <xf numFmtId="0" fontId="6" fillId="0" borderId="7" xfId="51" applyFont="1" applyBorder="1" applyAlignment="1">
      <alignment horizontal="center" vertical="center" wrapText="1"/>
    </xf>
    <xf numFmtId="0" fontId="6" fillId="0" borderId="8" xfId="51" applyFont="1" applyBorder="1" applyAlignment="1">
      <alignment horizontal="center" vertical="center" wrapText="1"/>
    </xf>
    <xf numFmtId="0" fontId="5" fillId="0" borderId="6" xfId="5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3" fontId="5" fillId="0" borderId="1" xfId="8" applyFont="1" applyFill="1" applyBorder="1" applyAlignment="1"/>
    <xf numFmtId="0" fontId="30" fillId="0" borderId="0" xfId="0" applyFont="1">
      <alignment vertical="center"/>
    </xf>
    <xf numFmtId="49" fontId="0" fillId="0" borderId="0" xfId="0" applyNumberFormat="1" applyAlignment="1">
      <alignment horizontal="center"/>
    </xf>
    <xf numFmtId="43" fontId="0" fillId="0" borderId="0" xfId="8" applyFont="1" applyFill="1" applyAlignment="1"/>
    <xf numFmtId="0" fontId="32" fillId="0" borderId="0" xfId="0" applyFont="1" applyAlignment="1"/>
    <xf numFmtId="180" fontId="32" fillId="0" borderId="0" xfId="11" applyNumberFormat="1" applyFont="1" applyFill="1" applyAlignment="1"/>
    <xf numFmtId="0" fontId="12" fillId="0" borderId="0" xfId="0" applyFont="1" applyAlignment="1">
      <alignment horizontal="center" vertical="center" wrapText="1"/>
    </xf>
    <xf numFmtId="43" fontId="12" fillId="0" borderId="0" xfId="8" applyFont="1" applyFill="1" applyAlignment="1">
      <alignment horizontal="center" vertical="center" wrapText="1"/>
    </xf>
    <xf numFmtId="180" fontId="12" fillId="0" borderId="0" xfId="11" applyNumberFormat="1" applyFont="1" applyFill="1" applyAlignment="1">
      <alignment horizontal="center" vertical="center" wrapText="1"/>
    </xf>
    <xf numFmtId="180" fontId="14" fillId="0" borderId="0" xfId="11" applyNumberFormat="1" applyFont="1" applyFill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180" fontId="6" fillId="2" borderId="5" xfId="11" applyNumberFormat="1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49" fontId="25" fillId="2" borderId="7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180" fontId="25" fillId="2" borderId="1" xfId="1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9" fontId="19" fillId="0" borderId="9" xfId="0" applyNumberFormat="1" applyFont="1" applyBorder="1" applyAlignment="1">
      <alignment vertical="center" wrapText="1"/>
    </xf>
    <xf numFmtId="10" fontId="5" fillId="0" borderId="9" xfId="11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9" fontId="19" fillId="0" borderId="1" xfId="0" applyNumberFormat="1" applyFont="1" applyBorder="1" applyAlignment="1">
      <alignment vertical="center" wrapText="1"/>
    </xf>
    <xf numFmtId="10" fontId="5" fillId="0" borderId="1" xfId="11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3" fontId="19" fillId="0" borderId="9" xfId="8" applyFont="1" applyFill="1" applyBorder="1" applyAlignment="1">
      <alignment vertical="center" wrapText="1"/>
    </xf>
    <xf numFmtId="10" fontId="19" fillId="0" borderId="9" xfId="11" applyNumberFormat="1" applyFont="1" applyFill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33" fillId="0" borderId="0" xfId="0" applyFont="1" applyAlignment="1">
      <alignment vertical="center" wrapText="1"/>
    </xf>
    <xf numFmtId="43" fontId="33" fillId="0" borderId="0" xfId="8" applyFont="1" applyFill="1" applyBorder="1" applyAlignment="1">
      <alignment vertical="center" wrapText="1"/>
    </xf>
    <xf numFmtId="180" fontId="33" fillId="0" borderId="0" xfId="11" applyNumberFormat="1" applyFont="1" applyFill="1" applyBorder="1" applyAlignment="1">
      <alignment vertical="center" wrapText="1"/>
    </xf>
    <xf numFmtId="9" fontId="31" fillId="0" borderId="0" xfId="11" applyFont="1" applyAlignment="1">
      <alignment horizontal="center" vertical="center"/>
    </xf>
    <xf numFmtId="49" fontId="0" fillId="0" borderId="0" xfId="11" applyNumberFormat="1" applyFont="1" applyAlignment="1">
      <alignment horizontal="center"/>
    </xf>
    <xf numFmtId="43" fontId="0" fillId="0" borderId="0" xfId="8" applyFont="1" applyAlignment="1"/>
    <xf numFmtId="9" fontId="32" fillId="0" borderId="0" xfId="11" applyFont="1" applyAlignment="1"/>
    <xf numFmtId="180" fontId="32" fillId="0" borderId="0" xfId="11" applyNumberFormat="1" applyFont="1" applyAlignment="1"/>
    <xf numFmtId="49" fontId="31" fillId="0" borderId="0" xfId="11" applyNumberFormat="1" applyFont="1" applyAlignment="1">
      <alignment horizontal="center" vertical="center"/>
    </xf>
    <xf numFmtId="43" fontId="21" fillId="0" borderId="0" xfId="8" applyFont="1" applyAlignment="1">
      <alignment horizontal="left" vertical="center"/>
    </xf>
    <xf numFmtId="0" fontId="34" fillId="0" borderId="0" xfId="0" applyFont="1" applyAlignment="1"/>
    <xf numFmtId="43" fontId="19" fillId="0" borderId="1" xfId="8" applyFont="1" applyFill="1" applyBorder="1" applyAlignment="1">
      <alignment horizontal="right" vertical="center" wrapText="1"/>
    </xf>
    <xf numFmtId="49" fontId="5" fillId="0" borderId="0" xfId="0" applyNumberFormat="1" applyFont="1" applyAlignment="1"/>
    <xf numFmtId="0" fontId="17" fillId="0" borderId="0" xfId="0" applyFont="1" applyAlignment="1"/>
    <xf numFmtId="43" fontId="5" fillId="0" borderId="0" xfId="8" applyFont="1" applyFill="1" applyAlignment="1"/>
    <xf numFmtId="0" fontId="13" fillId="0" borderId="0" xfId="0" applyFont="1" applyAlignment="1">
      <alignment horizontal="center"/>
    </xf>
    <xf numFmtId="43" fontId="13" fillId="0" borderId="0" xfId="8" applyFont="1" applyFill="1" applyAlignment="1">
      <alignment horizontal="center"/>
    </xf>
    <xf numFmtId="0" fontId="23" fillId="0" borderId="3" xfId="0" applyFont="1" applyBorder="1" applyAlignment="1">
      <alignment horizontal="center" vertical="center"/>
    </xf>
    <xf numFmtId="43" fontId="23" fillId="0" borderId="3" xfId="8" applyFont="1" applyFill="1" applyBorder="1" applyAlignment="1">
      <alignment horizontal="center" vertical="center"/>
    </xf>
    <xf numFmtId="0" fontId="35" fillId="0" borderId="0" xfId="0" applyFont="1" applyAlignment="1"/>
    <xf numFmtId="179" fontId="36" fillId="2" borderId="6" xfId="0" applyNumberFormat="1" applyFont="1" applyFill="1" applyBorder="1" applyAlignment="1">
      <alignment horizontal="center" vertical="center" wrapText="1"/>
    </xf>
    <xf numFmtId="43" fontId="36" fillId="2" borderId="1" xfId="8" applyFont="1" applyFill="1" applyBorder="1" applyAlignment="1">
      <alignment horizontal="center" vertical="center" wrapText="1"/>
    </xf>
    <xf numFmtId="179" fontId="36" fillId="2" borderId="8" xfId="0" applyNumberFormat="1" applyFont="1" applyFill="1" applyBorder="1" applyAlignment="1">
      <alignment horizontal="center" vertical="center" wrapText="1"/>
    </xf>
    <xf numFmtId="0" fontId="35" fillId="5" borderId="1" xfId="47" applyFont="1" applyFill="1" applyBorder="1" applyAlignment="1">
      <alignment horizontal="left" vertical="center"/>
    </xf>
    <xf numFmtId="0" fontId="17" fillId="5" borderId="1" xfId="47" applyFont="1" applyFill="1" applyBorder="1" applyAlignment="1">
      <alignment horizontal="center" vertical="center"/>
    </xf>
    <xf numFmtId="43" fontId="17" fillId="5" borderId="1" xfId="8" applyFont="1" applyFill="1" applyBorder="1" applyAlignment="1">
      <alignment horizontal="center" vertical="center" wrapText="1"/>
    </xf>
    <xf numFmtId="43" fontId="35" fillId="5" borderId="1" xfId="8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3" fontId="17" fillId="0" borderId="1" xfId="8" applyFont="1" applyFill="1" applyBorder="1" applyAlignment="1">
      <alignment horizontal="center" vertical="center" wrapText="1"/>
    </xf>
    <xf numFmtId="179" fontId="35" fillId="5" borderId="1" xfId="0" applyNumberFormat="1" applyFont="1" applyFill="1" applyBorder="1" applyAlignment="1">
      <alignment horizontal="center" vertical="center" wrapText="1"/>
    </xf>
    <xf numFmtId="0" fontId="0" fillId="0" borderId="0" xfId="44" applyFont="1" applyAlignment="1"/>
    <xf numFmtId="43" fontId="0" fillId="0" borderId="0" xfId="8" applyFont="1" applyFill="1" applyBorder="1" applyAlignment="1" applyProtection="1"/>
    <xf numFmtId="43" fontId="8" fillId="0" borderId="0" xfId="8" applyFont="1" applyAlignment="1">
      <alignment horizontal="center" vertical="center"/>
    </xf>
    <xf numFmtId="0" fontId="6" fillId="0" borderId="6" xfId="44" applyFont="1" applyBorder="1" applyAlignment="1">
      <alignment horizontal="center" vertical="center" wrapText="1"/>
    </xf>
    <xf numFmtId="0" fontId="6" fillId="2" borderId="6" xfId="44" applyFont="1" applyFill="1" applyBorder="1" applyAlignment="1">
      <alignment horizontal="center" vertical="center"/>
    </xf>
    <xf numFmtId="0" fontId="6" fillId="0" borderId="7" xfId="44" applyFont="1" applyBorder="1" applyAlignment="1">
      <alignment horizontal="center" vertical="center" wrapText="1"/>
    </xf>
    <xf numFmtId="0" fontId="6" fillId="2" borderId="8" xfId="44" applyFont="1" applyFill="1" applyBorder="1" applyAlignment="1">
      <alignment horizontal="center" vertical="center"/>
    </xf>
    <xf numFmtId="0" fontId="6" fillId="0" borderId="1" xfId="44" applyFont="1" applyBorder="1" applyAlignment="1">
      <alignment horizontal="left" vertical="center"/>
    </xf>
    <xf numFmtId="0" fontId="5" fillId="0" borderId="1" xfId="44" applyFont="1" applyBorder="1" applyAlignment="1">
      <alignment horizontal="center" vertical="center"/>
    </xf>
    <xf numFmtId="43" fontId="20" fillId="0" borderId="1" xfId="8" applyFont="1" applyFill="1" applyBorder="1" applyAlignment="1" applyProtection="1">
      <alignment horizontal="center" vertical="center" wrapText="1"/>
    </xf>
    <xf numFmtId="0" fontId="6" fillId="0" borderId="1" xfId="44" applyFont="1" applyBorder="1" applyAlignment="1">
      <alignment vertical="center" wrapText="1"/>
    </xf>
    <xf numFmtId="0" fontId="5" fillId="0" borderId="1" xfId="44" applyFont="1" applyBorder="1">
      <alignment vertical="center"/>
    </xf>
    <xf numFmtId="0" fontId="6" fillId="0" borderId="8" xfId="44" applyFont="1" applyBorder="1" applyAlignment="1">
      <alignment horizontal="center" vertical="center" wrapText="1"/>
    </xf>
    <xf numFmtId="179" fontId="35" fillId="0" borderId="1" xfId="0" applyNumberFormat="1" applyFont="1" applyBorder="1" applyAlignment="1">
      <alignment horizontal="center" vertical="center" wrapText="1"/>
    </xf>
    <xf numFmtId="0" fontId="6" fillId="0" borderId="1" xfId="44" applyFont="1" applyBorder="1" applyAlignment="1">
      <alignment horizontal="center" vertical="center" wrapText="1"/>
    </xf>
    <xf numFmtId="0" fontId="6" fillId="2" borderId="6" xfId="44" applyFont="1" applyFill="1" applyBorder="1" applyAlignment="1">
      <alignment horizontal="center" vertical="center" wrapText="1"/>
    </xf>
    <xf numFmtId="0" fontId="6" fillId="2" borderId="8" xfId="44" applyFont="1" applyFill="1" applyBorder="1" applyAlignment="1">
      <alignment horizontal="center" vertical="center" wrapText="1"/>
    </xf>
    <xf numFmtId="43" fontId="17" fillId="0" borderId="1" xfId="8" applyFont="1" applyFill="1" applyBorder="1" applyAlignment="1" applyProtection="1">
      <alignment horizontal="center" vertical="center" wrapText="1"/>
    </xf>
    <xf numFmtId="181" fontId="35" fillId="0" borderId="1" xfId="11" applyNumberFormat="1" applyFont="1" applyFill="1" applyBorder="1" applyAlignment="1" applyProtection="1">
      <alignment horizontal="center" vertical="center" wrapText="1"/>
    </xf>
    <xf numFmtId="0" fontId="6" fillId="2" borderId="1" xfId="44" applyFont="1" applyFill="1" applyBorder="1" applyAlignment="1">
      <alignment horizontal="center" vertical="center" wrapText="1"/>
    </xf>
    <xf numFmtId="49" fontId="6" fillId="2" borderId="1" xfId="44" applyNumberFormat="1" applyFont="1" applyFill="1" applyBorder="1" applyAlignment="1">
      <alignment horizontal="center" vertical="center" wrapText="1"/>
    </xf>
    <xf numFmtId="0" fontId="5" fillId="0" borderId="1" xfId="44" applyFont="1" applyBorder="1" applyAlignment="1">
      <alignment horizontal="center" wrapText="1"/>
    </xf>
    <xf numFmtId="43" fontId="6" fillId="2" borderId="4" xfId="8" applyFont="1" applyFill="1" applyBorder="1" applyAlignment="1" applyProtection="1">
      <alignment horizontal="center" vertical="center" wrapText="1"/>
    </xf>
    <xf numFmtId="43" fontId="6" fillId="2" borderId="2" xfId="8" applyFont="1" applyFill="1" applyBorder="1" applyAlignment="1" applyProtection="1">
      <alignment horizontal="center" vertical="center" wrapText="1"/>
    </xf>
    <xf numFmtId="181" fontId="35" fillId="0" borderId="4" xfId="11" applyNumberFormat="1" applyFont="1" applyFill="1" applyBorder="1" applyAlignment="1" applyProtection="1">
      <alignment horizontal="center" vertical="center" wrapText="1"/>
    </xf>
    <xf numFmtId="181" fontId="35" fillId="0" borderId="2" xfId="11" applyNumberFormat="1" applyFont="1" applyFill="1" applyBorder="1" applyAlignment="1" applyProtection="1">
      <alignment horizontal="center" vertical="center" wrapText="1"/>
    </xf>
    <xf numFmtId="181" fontId="35" fillId="5" borderId="4" xfId="11" applyNumberFormat="1" applyFont="1" applyFill="1" applyBorder="1" applyAlignment="1">
      <alignment horizontal="center" vertical="center" wrapText="1"/>
    </xf>
    <xf numFmtId="181" fontId="35" fillId="5" borderId="2" xfId="11" applyNumberFormat="1" applyFont="1" applyFill="1" applyBorder="1" applyAlignment="1">
      <alignment horizontal="center" vertical="center" wrapText="1"/>
    </xf>
    <xf numFmtId="179" fontId="35" fillId="5" borderId="1" xfId="0" applyNumberFormat="1" applyFont="1" applyFill="1" applyBorder="1" applyAlignment="1">
      <alignment vertical="center" wrapText="1"/>
    </xf>
    <xf numFmtId="0" fontId="37" fillId="0" borderId="0" xfId="0" applyFont="1" applyAlignment="1"/>
    <xf numFmtId="0" fontId="38" fillId="0" borderId="0" xfId="0" applyFont="1">
      <alignment vertical="center"/>
    </xf>
    <xf numFmtId="0" fontId="0" fillId="0" borderId="0" xfId="0" applyAlignment="1">
      <alignment horizontal="left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left" vertical="center"/>
    </xf>
    <xf numFmtId="0" fontId="40" fillId="0" borderId="0" xfId="0" applyFont="1">
      <alignment vertical="center"/>
    </xf>
    <xf numFmtId="43" fontId="40" fillId="0" borderId="0" xfId="8" applyFont="1" applyFill="1" applyAlignment="1">
      <alignment horizontal="center" vertical="center"/>
    </xf>
    <xf numFmtId="179" fontId="41" fillId="3" borderId="1" xfId="0" applyNumberFormat="1" applyFont="1" applyFill="1" applyBorder="1" applyAlignment="1">
      <alignment horizontal="left" vertical="center" wrapText="1"/>
    </xf>
    <xf numFmtId="43" fontId="40" fillId="3" borderId="1" xfId="8" applyFont="1" applyFill="1" applyBorder="1" applyAlignment="1">
      <alignment horizontal="center" vertical="center"/>
    </xf>
    <xf numFmtId="43" fontId="41" fillId="3" borderId="1" xfId="8" applyFont="1" applyFill="1" applyBorder="1" applyAlignment="1">
      <alignment horizontal="center" vertical="center" wrapText="1"/>
    </xf>
    <xf numFmtId="43" fontId="41" fillId="3" borderId="4" xfId="8" applyFont="1" applyFill="1" applyBorder="1" applyAlignment="1">
      <alignment horizontal="center" vertical="center" wrapText="1"/>
    </xf>
    <xf numFmtId="43" fontId="40" fillId="3" borderId="5" xfId="8" applyFont="1" applyFill="1" applyBorder="1" applyAlignment="1">
      <alignment horizontal="center" vertical="center"/>
    </xf>
    <xf numFmtId="43" fontId="40" fillId="3" borderId="1" xfId="8" applyFont="1" applyFill="1" applyBorder="1" applyAlignment="1">
      <alignment horizontal="center" vertical="center" wrapText="1"/>
    </xf>
    <xf numFmtId="43" fontId="40" fillId="3" borderId="4" xfId="8" applyFont="1" applyFill="1" applyBorder="1" applyAlignment="1">
      <alignment horizontal="center" vertical="center" wrapText="1"/>
    </xf>
    <xf numFmtId="43" fontId="40" fillId="3" borderId="1" xfId="8" applyFont="1" applyFill="1" applyBorder="1" applyAlignment="1">
      <alignment horizontal="left" vertical="center" wrapText="1"/>
    </xf>
    <xf numFmtId="43" fontId="41" fillId="3" borderId="1" xfId="8" applyFont="1" applyFill="1" applyBorder="1" applyAlignment="1">
      <alignment horizontal="left" vertical="center" wrapText="1"/>
    </xf>
    <xf numFmtId="179" fontId="42" fillId="0" borderId="4" xfId="0" applyNumberFormat="1" applyFont="1" applyBorder="1" applyAlignment="1">
      <alignment horizontal="center" vertical="center" wrapText="1"/>
    </xf>
    <xf numFmtId="179" fontId="42" fillId="0" borderId="2" xfId="0" applyNumberFormat="1" applyFont="1" applyBorder="1" applyAlignment="1">
      <alignment horizontal="center" vertical="center" wrapText="1"/>
    </xf>
    <xf numFmtId="179" fontId="42" fillId="0" borderId="1" xfId="0" applyNumberFormat="1" applyFont="1" applyBorder="1" applyAlignment="1">
      <alignment horizontal="center" vertical="center" wrapText="1"/>
    </xf>
    <xf numFmtId="0" fontId="40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center" vertical="center" wrapText="1"/>
    </xf>
    <xf numFmtId="43" fontId="40" fillId="0" borderId="1" xfId="0" applyNumberFormat="1" applyFont="1" applyBorder="1" applyAlignment="1">
      <alignment horizontal="center" vertical="center" wrapText="1"/>
    </xf>
    <xf numFmtId="49" fontId="40" fillId="0" borderId="1" xfId="0" applyNumberFormat="1" applyFont="1" applyBorder="1" applyAlignment="1">
      <alignment horizontal="center" vertical="center" wrapText="1"/>
    </xf>
    <xf numFmtId="180" fontId="40" fillId="0" borderId="1" xfId="11" applyNumberFormat="1" applyFont="1" applyFill="1" applyBorder="1" applyAlignment="1">
      <alignment horizontal="center" vertical="center" wrapText="1"/>
    </xf>
    <xf numFmtId="179" fontId="41" fillId="0" borderId="1" xfId="0" applyNumberFormat="1" applyFont="1" applyBorder="1" applyAlignment="1">
      <alignment horizontal="center" vertical="center" wrapText="1"/>
    </xf>
    <xf numFmtId="43" fontId="41" fillId="3" borderId="5" xfId="8" applyFont="1" applyFill="1" applyBorder="1" applyAlignment="1">
      <alignment horizontal="center" vertical="center" wrapText="1"/>
    </xf>
    <xf numFmtId="43" fontId="41" fillId="3" borderId="2" xfId="8" applyFont="1" applyFill="1" applyBorder="1" applyAlignment="1">
      <alignment horizontal="center" vertical="center" wrapText="1"/>
    </xf>
    <xf numFmtId="43" fontId="40" fillId="3" borderId="2" xfId="8" applyFont="1" applyFill="1" applyBorder="1" applyAlignment="1">
      <alignment horizontal="center" vertical="center"/>
    </xf>
    <xf numFmtId="43" fontId="43" fillId="0" borderId="1" xfId="8" applyFont="1" applyBorder="1" applyAlignment="1">
      <alignment vertical="center" wrapText="1"/>
    </xf>
    <xf numFmtId="43" fontId="40" fillId="0" borderId="4" xfId="8" applyFont="1" applyFill="1" applyBorder="1" applyAlignment="1">
      <alignment horizontal="center" vertical="center" wrapText="1"/>
    </xf>
    <xf numFmtId="43" fontId="40" fillId="0" borderId="5" xfId="8" applyFont="1" applyFill="1" applyBorder="1" applyAlignment="1">
      <alignment horizontal="center" vertical="center"/>
    </xf>
    <xf numFmtId="43" fontId="40" fillId="0" borderId="2" xfId="8" applyFont="1" applyFill="1" applyBorder="1" applyAlignment="1">
      <alignment horizontal="center" vertical="center"/>
    </xf>
    <xf numFmtId="0" fontId="44" fillId="0" borderId="0" xfId="0" applyFont="1">
      <alignment vertical="center"/>
    </xf>
    <xf numFmtId="0" fontId="45" fillId="0" borderId="1" xfId="0" applyFont="1" applyBorder="1" applyAlignment="1">
      <alignment horizontal="center" vertical="center"/>
    </xf>
    <xf numFmtId="0" fontId="45" fillId="0" borderId="1" xfId="0" applyFont="1" applyBorder="1">
      <alignment vertical="center"/>
    </xf>
    <xf numFmtId="0" fontId="46" fillId="0" borderId="1" xfId="0" applyFont="1" applyBorder="1" applyAlignment="1">
      <alignment horizontal="center" vertical="center"/>
    </xf>
    <xf numFmtId="0" fontId="47" fillId="0" borderId="1" xfId="0" applyFont="1" applyBorder="1" applyAlignment="1">
      <alignment horizontal="left" vertical="center"/>
    </xf>
    <xf numFmtId="49" fontId="47" fillId="0" borderId="1" xfId="0" applyNumberFormat="1" applyFont="1" applyBorder="1" applyAlignment="1">
      <alignment horizontal="center" vertical="center"/>
    </xf>
    <xf numFmtId="0" fontId="47" fillId="0" borderId="1" xfId="0" applyFont="1" applyBorder="1">
      <alignment vertical="center"/>
    </xf>
    <xf numFmtId="43" fontId="40" fillId="0" borderId="1" xfId="8" applyFont="1" applyFill="1" applyBorder="1" applyAlignment="1">
      <alignment horizontal="right" vertical="center"/>
    </xf>
    <xf numFmtId="0" fontId="47" fillId="0" borderId="1" xfId="0" applyFont="1" applyBorder="1" applyAlignment="1">
      <alignment horizontal="center" vertical="center" wrapText="1"/>
    </xf>
    <xf numFmtId="3" fontId="48" fillId="0" borderId="1" xfId="0" applyNumberFormat="1" applyFont="1" applyBorder="1" applyAlignment="1">
      <alignment horizontal="center" vertical="center" wrapText="1"/>
    </xf>
    <xf numFmtId="4" fontId="48" fillId="0" borderId="1" xfId="0" applyNumberFormat="1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14" fontId="48" fillId="0" borderId="1" xfId="0" applyNumberFormat="1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/>
    </xf>
    <xf numFmtId="49" fontId="48" fillId="0" borderId="1" xfId="0" applyNumberFormat="1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14" fontId="48" fillId="0" borderId="4" xfId="0" applyNumberFormat="1" applyFont="1" applyBorder="1" applyAlignment="1">
      <alignment horizontal="center" vertical="center" wrapText="1"/>
    </xf>
    <xf numFmtId="14" fontId="47" fillId="0" borderId="1" xfId="0" applyNumberFormat="1" applyFont="1" applyBorder="1" applyAlignment="1">
      <alignment horizontal="center" vertical="center"/>
    </xf>
    <xf numFmtId="14" fontId="48" fillId="0" borderId="5" xfId="0" applyNumberFormat="1" applyFont="1" applyBorder="1" applyAlignment="1">
      <alignment horizontal="center" vertical="center" wrapText="1"/>
    </xf>
    <xf numFmtId="14" fontId="48" fillId="0" borderId="2" xfId="0" applyNumberFormat="1" applyFont="1" applyBorder="1" applyAlignment="1">
      <alignment horizontal="center" vertical="center" wrapText="1"/>
    </xf>
    <xf numFmtId="10" fontId="48" fillId="0" borderId="1" xfId="0" applyNumberFormat="1" applyFont="1" applyBorder="1" applyAlignment="1">
      <alignment vertical="center" wrapText="1"/>
    </xf>
    <xf numFmtId="14" fontId="48" fillId="0" borderId="1" xfId="0" applyNumberFormat="1" applyFont="1" applyBorder="1" applyAlignment="1">
      <alignment vertical="center" wrapText="1"/>
    </xf>
    <xf numFmtId="43" fontId="6" fillId="2" borderId="1" xfId="8" applyFont="1" applyFill="1" applyBorder="1" applyAlignment="1" applyProtection="1" quotePrefix="1">
      <alignment horizontal="center" vertical="center" wrapText="1"/>
    </xf>
    <xf numFmtId="49" fontId="6" fillId="2" borderId="1" xfId="44" applyNumberFormat="1" applyFont="1" applyFill="1" applyBorder="1" applyAlignment="1" quotePrefix="1">
      <alignment horizontal="center" vertical="center" wrapText="1"/>
    </xf>
    <xf numFmtId="43" fontId="6" fillId="2" borderId="4" xfId="8" applyFont="1" applyFill="1" applyBorder="1" applyAlignment="1" applyProtection="1" quotePrefix="1">
      <alignment horizontal="center" vertical="center" wrapText="1"/>
    </xf>
    <xf numFmtId="43" fontId="36" fillId="2" borderId="1" xfId="8" applyFont="1" applyFill="1" applyBorder="1" applyAlignment="1" quotePrefix="1">
      <alignment horizontal="center" vertical="center" wrapText="1"/>
    </xf>
    <xf numFmtId="43" fontId="25" fillId="2" borderId="1" xfId="8" applyFont="1" applyFill="1" applyBorder="1" applyAlignment="1" quotePrefix="1">
      <alignment horizontal="center" vertical="center" wrapText="1"/>
    </xf>
    <xf numFmtId="49" fontId="25" fillId="2" borderId="1" xfId="0" applyNumberFormat="1" applyFont="1" applyFill="1" applyBorder="1" applyAlignment="1" quotePrefix="1">
      <alignment horizontal="center" vertical="center" wrapText="1"/>
    </xf>
    <xf numFmtId="180" fontId="25" fillId="2" borderId="1" xfId="11" applyNumberFormat="1" applyFont="1" applyFill="1" applyBorder="1" applyAlignment="1" quotePrefix="1">
      <alignment horizontal="center" vertical="center" wrapText="1"/>
    </xf>
    <xf numFmtId="43" fontId="6" fillId="2" borderId="1" xfId="8" applyFont="1" applyFill="1" applyBorder="1" applyAlignment="1" quotePrefix="1">
      <alignment horizontal="center" vertical="center" wrapText="1"/>
    </xf>
    <xf numFmtId="43" fontId="18" fillId="2" borderId="1" xfId="8" applyFont="1" applyFill="1" applyBorder="1" applyAlignment="1" quotePrefix="1">
      <alignment horizontal="center" vertical="center" wrapText="1"/>
    </xf>
    <xf numFmtId="49" fontId="6" fillId="2" borderId="1" xfId="51" applyNumberFormat="1" applyFont="1" applyFill="1" applyBorder="1" applyAlignment="1" quotePrefix="1">
      <alignment horizontal="center" vertical="center" wrapText="1"/>
    </xf>
    <xf numFmtId="10" fontId="6" fillId="2" borderId="1" xfId="11" applyNumberFormat="1" applyFont="1" applyFill="1" applyBorder="1" applyAlignment="1" applyProtection="1" quotePrefix="1">
      <alignment horizontal="center" vertical="center" wrapText="1"/>
    </xf>
    <xf numFmtId="49" fontId="15" fillId="2" borderId="1" xfId="0" applyNumberFormat="1" applyFont="1" applyFill="1" applyBorder="1" applyAlignment="1" quotePrefix="1">
      <alignment horizontal="center" vertical="center" wrapText="1"/>
    </xf>
    <xf numFmtId="0" fontId="3" fillId="2" borderId="1" xfId="44" applyFont="1" applyFill="1" applyBorder="1" applyAlignment="1" quotePrefix="1">
      <alignment horizontal="center" vertical="center" wrapText="1"/>
    </xf>
    <xf numFmtId="49" fontId="3" fillId="4" borderId="1" xfId="44" applyNumberFormat="1" applyFont="1" applyFill="1" applyBorder="1" applyAlignment="1" quotePrefix="1">
      <alignment horizontal="center" vertical="center" wrapText="1"/>
    </xf>
    <xf numFmtId="0" fontId="3" fillId="4" borderId="1" xfId="44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常规_南甸苑销售台账" xfId="47"/>
    <cellStyle name="强调文字颜色 6" xfId="48" builtinId="49"/>
    <cellStyle name="40% - 强调文字颜色 6" xfId="49" builtinId="51"/>
    <cellStyle name="60% - 强调文字颜色 6" xfId="50" builtinId="52"/>
    <cellStyle name="常规_广东省土地增值税清算申报表及附表" xfId="51"/>
  </cellStyles>
  <tableStyles count="0" defaultTableStyle="TableStyleMedium2" defaultPivotStyle="PivotStyleLight16"/>
  <colors>
    <mruColors>
      <color rgb="00232323"/>
      <color rgb="005B9BD5"/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I36"/>
  <sheetViews>
    <sheetView tabSelected="1" zoomScale="70" zoomScaleNormal="70" workbookViewId="0">
      <selection activeCell="A5" sqref="A5:AI5"/>
    </sheetView>
  </sheetViews>
  <sheetFormatPr defaultColWidth="11" defaultRowHeight="14.25"/>
  <cols>
    <col min="1" max="1" width="6.125" style="300" customWidth="1"/>
    <col min="2" max="2" width="22.125" style="300" customWidth="1"/>
    <col min="3" max="3" width="15.375" style="300" customWidth="1"/>
    <col min="4" max="5" width="5.875" style="300" customWidth="1"/>
    <col min="6" max="6" width="11.875" style="300" customWidth="1"/>
    <col min="7" max="7" width="10.125" style="300" customWidth="1"/>
    <col min="8" max="8" width="5.875" style="300" customWidth="1"/>
    <col min="9" max="9" width="13.125" style="300" customWidth="1"/>
    <col min="10" max="10" width="12.125" style="300" customWidth="1"/>
    <col min="11" max="11" width="1.625" style="300" customWidth="1"/>
    <col min="12" max="12" width="12.875" style="300" customWidth="1"/>
    <col min="13" max="17" width="5.875" style="300" customWidth="1"/>
    <col min="18" max="18" width="5.625" style="300" customWidth="1"/>
    <col min="19" max="31" width="5.875" style="300" customWidth="1"/>
    <col min="32" max="32" width="7.125" style="300" customWidth="1"/>
    <col min="33" max="34" width="5.875" style="300" customWidth="1"/>
    <col min="35" max="35" width="12.625" style="300" customWidth="1"/>
    <col min="36" max="16384" width="11" style="300"/>
  </cols>
  <sheetData>
    <row r="1" ht="36.75" spans="1:35">
      <c r="A1" s="301" t="s">
        <v>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</row>
    <row r="2" ht="25.5" spans="1:35">
      <c r="A2" s="303" t="s">
        <v>1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3"/>
    </row>
    <row r="3" ht="36" customHeight="1" spans="1:35">
      <c r="A3" s="304" t="s">
        <v>2</v>
      </c>
      <c r="B3" s="304"/>
      <c r="C3" s="305"/>
      <c r="D3" s="305"/>
      <c r="E3" s="305"/>
      <c r="F3" s="305"/>
      <c r="G3" s="306" t="s">
        <v>3</v>
      </c>
      <c r="H3" s="306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 t="s">
        <v>4</v>
      </c>
      <c r="AA3" s="313"/>
      <c r="AB3" s="313"/>
      <c r="AC3" s="317"/>
      <c r="AD3" s="317"/>
      <c r="AE3" s="317"/>
      <c r="AF3" s="317"/>
      <c r="AG3" s="317"/>
      <c r="AH3" s="317"/>
      <c r="AI3" s="317"/>
    </row>
    <row r="4" ht="36" customHeight="1" spans="1:35">
      <c r="A4" s="307" t="s">
        <v>5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 t="s">
        <v>6</v>
      </c>
      <c r="AA4" s="307"/>
      <c r="AB4" s="307"/>
      <c r="AC4" s="307"/>
      <c r="AD4" s="307"/>
      <c r="AE4" s="307"/>
      <c r="AF4" s="307"/>
      <c r="AG4" s="307"/>
      <c r="AH4" s="307"/>
      <c r="AI4" s="307"/>
    </row>
    <row r="5" ht="36" customHeight="1" spans="1:35">
      <c r="A5" s="308" t="s">
        <v>7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</row>
    <row r="6" ht="36" customHeight="1" spans="1:35">
      <c r="A6" s="309" t="s">
        <v>8</v>
      </c>
      <c r="B6" s="309"/>
      <c r="C6" s="309"/>
      <c r="D6" s="309"/>
      <c r="E6" s="309"/>
      <c r="F6" s="309"/>
      <c r="G6" s="309"/>
      <c r="H6" s="309" t="s">
        <v>9</v>
      </c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14"/>
      <c r="T6" s="314"/>
      <c r="U6" s="314"/>
      <c r="V6" s="314"/>
      <c r="W6" s="314"/>
      <c r="X6" s="309" t="s">
        <v>10</v>
      </c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</row>
    <row r="7" ht="36" customHeight="1" spans="1:35">
      <c r="A7" s="309" t="s">
        <v>11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 t="s">
        <v>12</v>
      </c>
      <c r="Y7" s="309"/>
      <c r="Z7" s="309"/>
      <c r="AA7" s="309"/>
      <c r="AB7" s="309"/>
      <c r="AC7" s="309"/>
      <c r="AD7" s="309"/>
      <c r="AE7" s="309"/>
      <c r="AF7" s="309"/>
      <c r="AG7" s="309"/>
      <c r="AH7" s="309"/>
      <c r="AI7" s="309"/>
    </row>
    <row r="8" ht="36" customHeight="1" spans="1:35">
      <c r="A8" s="309" t="s">
        <v>13</v>
      </c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 t="s">
        <v>14</v>
      </c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09"/>
      <c r="AH8" s="309"/>
      <c r="AI8" s="309"/>
    </row>
    <row r="9" ht="36" customHeight="1" spans="1:35">
      <c r="A9" s="309" t="s">
        <v>15</v>
      </c>
      <c r="B9" s="309"/>
      <c r="C9" s="309"/>
      <c r="D9" s="309"/>
      <c r="E9" s="309"/>
      <c r="F9" s="309"/>
      <c r="G9" s="309"/>
      <c r="H9" s="309" t="s">
        <v>16</v>
      </c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 t="s">
        <v>17</v>
      </c>
      <c r="T9" s="309"/>
      <c r="U9" s="309"/>
      <c r="V9" s="309"/>
      <c r="W9" s="309"/>
      <c r="X9" s="309"/>
      <c r="Y9" s="309"/>
      <c r="Z9" s="309"/>
      <c r="AA9" s="309"/>
      <c r="AB9" s="309" t="s">
        <v>18</v>
      </c>
      <c r="AC9" s="309"/>
      <c r="AD9" s="309"/>
      <c r="AE9" s="309"/>
      <c r="AF9" s="309"/>
      <c r="AG9" s="310"/>
      <c r="AH9" s="310"/>
      <c r="AI9" s="320"/>
    </row>
    <row r="10" ht="36" customHeight="1" spans="1:35">
      <c r="A10" s="309" t="s">
        <v>19</v>
      </c>
      <c r="B10" s="309"/>
      <c r="C10" s="309"/>
      <c r="D10" s="310"/>
      <c r="E10" s="310"/>
      <c r="F10" s="310"/>
      <c r="G10" s="310"/>
      <c r="H10" s="309" t="s">
        <v>20</v>
      </c>
      <c r="I10" s="309"/>
      <c r="J10" s="309"/>
      <c r="K10" s="309"/>
      <c r="L10" s="312"/>
      <c r="M10" s="312"/>
      <c r="N10" s="312"/>
      <c r="O10" s="312"/>
      <c r="P10" s="312"/>
      <c r="Q10" s="312"/>
      <c r="R10" s="312"/>
      <c r="S10" s="309" t="s">
        <v>21</v>
      </c>
      <c r="T10" s="309"/>
      <c r="U10" s="309"/>
      <c r="V10" s="309"/>
      <c r="W10" s="309"/>
      <c r="X10" s="316"/>
      <c r="Y10" s="318"/>
      <c r="Z10" s="318"/>
      <c r="AA10" s="319"/>
      <c r="AB10" s="309" t="s">
        <v>22</v>
      </c>
      <c r="AC10" s="309"/>
      <c r="AD10" s="309"/>
      <c r="AE10" s="309"/>
      <c r="AF10" s="309"/>
      <c r="AG10" s="312"/>
      <c r="AH10" s="312"/>
      <c r="AI10" s="321"/>
    </row>
    <row r="11" ht="36" customHeight="1" spans="1:35">
      <c r="A11" s="308" t="s">
        <v>23</v>
      </c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308"/>
      <c r="AA11" s="308"/>
      <c r="AB11" s="308"/>
      <c r="AC11" s="308"/>
      <c r="AD11" s="308"/>
      <c r="AE11" s="308"/>
      <c r="AF11" s="308"/>
      <c r="AG11" s="308"/>
      <c r="AH11" s="308"/>
      <c r="AI11" s="308"/>
    </row>
    <row r="12" ht="36" customHeight="1" spans="1:35">
      <c r="A12" s="288" t="s">
        <v>24</v>
      </c>
      <c r="B12" s="288" t="s">
        <v>25</v>
      </c>
      <c r="C12" s="288" t="s">
        <v>26</v>
      </c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 t="s">
        <v>27</v>
      </c>
      <c r="R12" s="288"/>
      <c r="S12" s="288"/>
      <c r="T12" s="288"/>
      <c r="U12" s="288"/>
      <c r="V12" s="288"/>
      <c r="W12" s="288"/>
      <c r="X12" s="288"/>
      <c r="Y12" s="288"/>
      <c r="Z12" s="288"/>
      <c r="AA12" s="288" t="s">
        <v>28</v>
      </c>
      <c r="AB12" s="288"/>
      <c r="AC12" s="288"/>
      <c r="AD12" s="288"/>
      <c r="AE12" s="288"/>
      <c r="AF12" s="288"/>
      <c r="AG12" s="288"/>
      <c r="AH12" s="288"/>
      <c r="AI12" s="288"/>
    </row>
    <row r="13" ht="36" customHeight="1" spans="1:35">
      <c r="A13" s="311">
        <v>1</v>
      </c>
      <c r="B13" s="311"/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  <c r="Y13" s="309"/>
      <c r="Z13" s="309"/>
      <c r="AA13" s="309"/>
      <c r="AB13" s="309"/>
      <c r="AC13" s="309"/>
      <c r="AD13" s="309"/>
      <c r="AE13" s="309"/>
      <c r="AF13" s="309"/>
      <c r="AG13" s="309"/>
      <c r="AH13" s="309"/>
      <c r="AI13" s="309"/>
    </row>
    <row r="14" ht="36" customHeight="1" spans="1:35">
      <c r="A14" s="308" t="s">
        <v>29</v>
      </c>
      <c r="B14" s="308"/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</row>
    <row r="15" ht="36" customHeight="1" spans="1:35">
      <c r="A15" s="288" t="s">
        <v>24</v>
      </c>
      <c r="B15" s="288" t="s">
        <v>30</v>
      </c>
      <c r="C15" s="288" t="s">
        <v>31</v>
      </c>
      <c r="D15" s="288"/>
      <c r="E15" s="288"/>
      <c r="F15" s="288"/>
      <c r="G15" s="288"/>
      <c r="H15" s="288" t="s">
        <v>32</v>
      </c>
      <c r="I15" s="288"/>
      <c r="J15" s="288"/>
      <c r="K15" s="288"/>
      <c r="L15" s="288"/>
      <c r="M15" s="288"/>
      <c r="N15" s="288"/>
      <c r="O15" s="288" t="s">
        <v>33</v>
      </c>
      <c r="P15" s="288"/>
      <c r="Q15" s="288"/>
      <c r="R15" s="288"/>
      <c r="S15" s="288"/>
      <c r="T15" s="288"/>
      <c r="U15" s="288"/>
      <c r="V15" s="288"/>
      <c r="W15" s="288"/>
      <c r="X15" s="288" t="s">
        <v>34</v>
      </c>
      <c r="Y15" s="288"/>
      <c r="Z15" s="288"/>
      <c r="AA15" s="288" t="s">
        <v>35</v>
      </c>
      <c r="AB15" s="288"/>
      <c r="AC15" s="288"/>
      <c r="AD15" s="288"/>
      <c r="AE15" s="288" t="s">
        <v>36</v>
      </c>
      <c r="AF15" s="288"/>
      <c r="AG15" s="288" t="s">
        <v>37</v>
      </c>
      <c r="AH15" s="288"/>
      <c r="AI15" s="288"/>
    </row>
    <row r="16" ht="36" customHeight="1" spans="1:35">
      <c r="A16" s="311">
        <v>1</v>
      </c>
      <c r="B16" s="311"/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09"/>
      <c r="Z16" s="309"/>
      <c r="AA16" s="309"/>
      <c r="AB16" s="309"/>
      <c r="AC16" s="309"/>
      <c r="AD16" s="309"/>
      <c r="AE16" s="309"/>
      <c r="AF16" s="309"/>
      <c r="AG16" s="316"/>
      <c r="AH16" s="318"/>
      <c r="AI16" s="319"/>
    </row>
    <row r="17" ht="36" customHeight="1" spans="1:35">
      <c r="A17" s="308" t="s">
        <v>38</v>
      </c>
      <c r="B17" s="308"/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8"/>
      <c r="Y17" s="308"/>
      <c r="Z17" s="308"/>
      <c r="AA17" s="308"/>
      <c r="AB17" s="308"/>
      <c r="AC17" s="308"/>
      <c r="AD17" s="308"/>
      <c r="AE17" s="308"/>
      <c r="AF17" s="308"/>
      <c r="AG17" s="308"/>
      <c r="AH17" s="308"/>
      <c r="AI17" s="308"/>
    </row>
    <row r="18" ht="36" customHeight="1" spans="1:35">
      <c r="A18" s="288" t="s">
        <v>24</v>
      </c>
      <c r="B18" s="288" t="s">
        <v>39</v>
      </c>
      <c r="C18" s="288" t="s">
        <v>40</v>
      </c>
      <c r="D18" s="288"/>
      <c r="E18" s="288"/>
      <c r="F18" s="288"/>
      <c r="G18" s="288"/>
      <c r="H18" s="288" t="s">
        <v>41</v>
      </c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 t="s">
        <v>34</v>
      </c>
      <c r="T18" s="288"/>
      <c r="U18" s="288"/>
      <c r="V18" s="288" t="s">
        <v>42</v>
      </c>
      <c r="W18" s="288"/>
      <c r="X18" s="288"/>
      <c r="Y18" s="288"/>
      <c r="Z18" s="288"/>
      <c r="AA18" s="288" t="s">
        <v>43</v>
      </c>
      <c r="AB18" s="288"/>
      <c r="AC18" s="288"/>
      <c r="AD18" s="288"/>
      <c r="AE18" s="288"/>
      <c r="AF18" s="288"/>
      <c r="AG18" s="288" t="s">
        <v>44</v>
      </c>
      <c r="AH18" s="288"/>
      <c r="AI18" s="288"/>
    </row>
    <row r="19" ht="36" customHeight="1" spans="1:35">
      <c r="A19" s="311">
        <v>1</v>
      </c>
      <c r="B19" s="311"/>
      <c r="C19" s="309"/>
      <c r="D19" s="309"/>
      <c r="E19" s="309"/>
      <c r="F19" s="309"/>
      <c r="G19" s="30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309"/>
      <c r="X19" s="309"/>
      <c r="Y19" s="309"/>
      <c r="Z19" s="309"/>
      <c r="AA19" s="309"/>
      <c r="AB19" s="309"/>
      <c r="AC19" s="309"/>
      <c r="AD19" s="309"/>
      <c r="AE19" s="309"/>
      <c r="AF19" s="309"/>
      <c r="AG19" s="312"/>
      <c r="AH19" s="309"/>
      <c r="AI19" s="309"/>
    </row>
    <row r="20" ht="36" customHeight="1" spans="1:35">
      <c r="A20" s="308" t="s">
        <v>45</v>
      </c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08"/>
      <c r="Z20" s="308"/>
      <c r="AA20" s="308"/>
      <c r="AB20" s="308"/>
      <c r="AC20" s="308"/>
      <c r="AD20" s="308"/>
      <c r="AE20" s="308"/>
      <c r="AF20" s="308"/>
      <c r="AG20" s="308"/>
      <c r="AH20" s="308"/>
      <c r="AI20" s="308"/>
    </row>
    <row r="21" ht="36" customHeight="1" spans="1:35">
      <c r="A21" s="288" t="s">
        <v>24</v>
      </c>
      <c r="B21" s="288" t="s">
        <v>46</v>
      </c>
      <c r="C21" s="288" t="s">
        <v>47</v>
      </c>
      <c r="D21" s="288"/>
      <c r="E21" s="288"/>
      <c r="F21" s="288"/>
      <c r="G21" s="288"/>
      <c r="H21" s="288" t="s">
        <v>48</v>
      </c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 t="s">
        <v>43</v>
      </c>
      <c r="T21" s="288"/>
      <c r="U21" s="288"/>
      <c r="V21" s="288"/>
      <c r="W21" s="288"/>
      <c r="X21" s="288"/>
      <c r="Y21" s="288"/>
      <c r="Z21" s="288"/>
      <c r="AA21" s="288" t="s">
        <v>49</v>
      </c>
      <c r="AB21" s="288"/>
      <c r="AC21" s="288"/>
      <c r="AD21" s="288"/>
      <c r="AE21" s="288"/>
      <c r="AF21" s="288"/>
      <c r="AG21" s="288"/>
      <c r="AH21" s="288"/>
      <c r="AI21" s="288"/>
    </row>
    <row r="22" ht="36" customHeight="1" spans="1:35">
      <c r="A22" s="311">
        <v>1</v>
      </c>
      <c r="B22" s="311"/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309"/>
      <c r="Z22" s="309"/>
      <c r="AA22" s="312"/>
      <c r="AB22" s="312"/>
      <c r="AC22" s="312"/>
      <c r="AD22" s="312"/>
      <c r="AE22" s="312"/>
      <c r="AF22" s="312"/>
      <c r="AG22" s="312"/>
      <c r="AH22" s="312"/>
      <c r="AI22" s="312"/>
    </row>
    <row r="23" ht="36" customHeight="1" spans="1:35">
      <c r="A23" s="308" t="s">
        <v>50</v>
      </c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</row>
    <row r="24" ht="36" customHeight="1" spans="1:35">
      <c r="A24" s="288" t="s">
        <v>24</v>
      </c>
      <c r="B24" s="288" t="s">
        <v>51</v>
      </c>
      <c r="C24" s="288" t="s">
        <v>52</v>
      </c>
      <c r="D24" s="288"/>
      <c r="E24" s="288"/>
      <c r="F24" s="288"/>
      <c r="G24" s="288" t="s">
        <v>53</v>
      </c>
      <c r="H24" s="288" t="s">
        <v>43</v>
      </c>
      <c r="I24" s="288"/>
      <c r="J24" s="288"/>
      <c r="K24" s="288"/>
      <c r="L24" s="288"/>
      <c r="M24" s="288"/>
      <c r="N24" s="288"/>
      <c r="O24" s="288" t="s">
        <v>54</v>
      </c>
      <c r="P24" s="288"/>
      <c r="Q24" s="288"/>
      <c r="R24" s="288"/>
      <c r="S24" s="288" t="s">
        <v>55</v>
      </c>
      <c r="T24" s="288"/>
      <c r="U24" s="288"/>
      <c r="V24" s="288"/>
      <c r="W24" s="288"/>
      <c r="X24" s="288" t="s">
        <v>56</v>
      </c>
      <c r="Y24" s="288"/>
      <c r="Z24" s="288"/>
      <c r="AA24" s="288"/>
      <c r="AB24" s="288"/>
      <c r="AC24" s="288" t="s">
        <v>57</v>
      </c>
      <c r="AD24" s="288"/>
      <c r="AE24" s="288"/>
      <c r="AF24" s="288"/>
      <c r="AG24" s="288" t="s">
        <v>44</v>
      </c>
      <c r="AH24" s="288"/>
      <c r="AI24" s="288"/>
    </row>
    <row r="25" ht="36" customHeight="1" spans="1:35">
      <c r="A25" s="311">
        <v>1</v>
      </c>
      <c r="B25" s="311"/>
      <c r="C25" s="309"/>
      <c r="D25" s="309"/>
      <c r="E25" s="309"/>
      <c r="F25" s="309"/>
      <c r="G25" s="311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  <c r="T25" s="309"/>
      <c r="U25" s="309"/>
      <c r="V25" s="309"/>
      <c r="W25" s="309"/>
      <c r="X25" s="312"/>
      <c r="Y25" s="312"/>
      <c r="Z25" s="312"/>
      <c r="AA25" s="312"/>
      <c r="AB25" s="312"/>
      <c r="AC25" s="312"/>
      <c r="AD25" s="312"/>
      <c r="AE25" s="312"/>
      <c r="AF25" s="312"/>
      <c r="AG25" s="312"/>
      <c r="AH25" s="312"/>
      <c r="AI25" s="312"/>
    </row>
    <row r="26" ht="36" customHeight="1" spans="1:35">
      <c r="A26" s="308" t="s">
        <v>58</v>
      </c>
      <c r="B26" s="308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08"/>
      <c r="S26" s="308"/>
      <c r="T26" s="308"/>
      <c r="U26" s="308"/>
      <c r="V26" s="308"/>
      <c r="W26" s="308"/>
      <c r="X26" s="308"/>
      <c r="Y26" s="308"/>
      <c r="Z26" s="308"/>
      <c r="AA26" s="308"/>
      <c r="AB26" s="308"/>
      <c r="AC26" s="308"/>
      <c r="AD26" s="308"/>
      <c r="AE26" s="308"/>
      <c r="AF26" s="308"/>
      <c r="AG26" s="308"/>
      <c r="AH26" s="308"/>
      <c r="AI26" s="308"/>
    </row>
    <row r="27" ht="36" customHeight="1" spans="1:35">
      <c r="A27" s="309" t="s">
        <v>24</v>
      </c>
      <c r="B27" s="309" t="s">
        <v>59</v>
      </c>
      <c r="C27" s="309" t="s">
        <v>26</v>
      </c>
      <c r="D27" s="309"/>
      <c r="E27" s="309"/>
      <c r="F27" s="309" t="s">
        <v>60</v>
      </c>
      <c r="G27" s="309" t="s">
        <v>61</v>
      </c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 t="s">
        <v>62</v>
      </c>
      <c r="S27" s="309"/>
      <c r="T27" s="309"/>
      <c r="U27" s="309"/>
      <c r="V27" s="309"/>
      <c r="W27" s="309"/>
      <c r="X27" s="309"/>
      <c r="Y27" s="309"/>
      <c r="Z27" s="309"/>
      <c r="AA27" s="309"/>
      <c r="AB27" s="309"/>
      <c r="AC27" s="309"/>
      <c r="AD27" s="309"/>
      <c r="AE27" s="309"/>
      <c r="AF27" s="309"/>
      <c r="AG27" s="309" t="s">
        <v>49</v>
      </c>
      <c r="AH27" s="309"/>
      <c r="AI27" s="309"/>
    </row>
    <row r="28" ht="36" customHeight="1" spans="1:35">
      <c r="A28" s="309"/>
      <c r="B28" s="309"/>
      <c r="C28" s="309"/>
      <c r="D28" s="309"/>
      <c r="E28" s="309"/>
      <c r="F28" s="309"/>
      <c r="G28" s="309" t="s">
        <v>63</v>
      </c>
      <c r="H28" s="309"/>
      <c r="I28" s="311" t="s">
        <v>64</v>
      </c>
      <c r="J28" s="311" t="s">
        <v>65</v>
      </c>
      <c r="K28" s="309" t="s">
        <v>66</v>
      </c>
      <c r="L28" s="309"/>
      <c r="M28" s="309" t="s">
        <v>67</v>
      </c>
      <c r="N28" s="309"/>
      <c r="O28" s="309"/>
      <c r="P28" s="309" t="s">
        <v>68</v>
      </c>
      <c r="Q28" s="309"/>
      <c r="R28" s="309" t="s">
        <v>63</v>
      </c>
      <c r="S28" s="309"/>
      <c r="T28" s="309" t="s">
        <v>64</v>
      </c>
      <c r="U28" s="309"/>
      <c r="V28" s="309"/>
      <c r="W28" s="309"/>
      <c r="X28" s="309" t="s">
        <v>65</v>
      </c>
      <c r="Y28" s="309"/>
      <c r="Z28" s="309" t="s">
        <v>69</v>
      </c>
      <c r="AA28" s="309"/>
      <c r="AB28" s="309"/>
      <c r="AC28" s="309" t="s">
        <v>67</v>
      </c>
      <c r="AD28" s="309"/>
      <c r="AE28" s="309"/>
      <c r="AF28" s="311" t="s">
        <v>68</v>
      </c>
      <c r="AG28" s="309"/>
      <c r="AH28" s="309"/>
      <c r="AI28" s="309"/>
    </row>
    <row r="29" ht="36" customHeight="1" spans="1:35">
      <c r="A29" s="311">
        <v>1</v>
      </c>
      <c r="B29" s="311"/>
      <c r="C29" s="309"/>
      <c r="D29" s="309"/>
      <c r="E29" s="309"/>
      <c r="F29" s="311"/>
      <c r="G29" s="309"/>
      <c r="H29" s="309"/>
      <c r="I29" s="311"/>
      <c r="J29" s="311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309"/>
      <c r="W29" s="309"/>
      <c r="X29" s="309"/>
      <c r="Y29" s="309"/>
      <c r="Z29" s="309"/>
      <c r="AA29" s="309"/>
      <c r="AB29" s="309"/>
      <c r="AC29" s="309"/>
      <c r="AD29" s="309"/>
      <c r="AE29" s="309"/>
      <c r="AF29" s="311"/>
      <c r="AG29" s="312"/>
      <c r="AH29" s="312"/>
      <c r="AI29" s="312"/>
    </row>
    <row r="30" ht="36" customHeight="1" spans="1:35">
      <c r="A30" s="308" t="s">
        <v>70</v>
      </c>
      <c r="B30" s="308"/>
      <c r="C30" s="308"/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308"/>
      <c r="S30" s="308"/>
      <c r="T30" s="308"/>
      <c r="U30" s="308"/>
      <c r="V30" s="308"/>
      <c r="W30" s="308"/>
      <c r="X30" s="308"/>
      <c r="Y30" s="308"/>
      <c r="Z30" s="308"/>
      <c r="AA30" s="308"/>
      <c r="AB30" s="308"/>
      <c r="AC30" s="308"/>
      <c r="AD30" s="308"/>
      <c r="AE30" s="308"/>
      <c r="AF30" s="308"/>
      <c r="AG30" s="308"/>
      <c r="AH30" s="308"/>
      <c r="AI30" s="308"/>
    </row>
    <row r="31" ht="36" customHeight="1" spans="1:35">
      <c r="A31" s="309" t="s">
        <v>24</v>
      </c>
      <c r="B31" s="309" t="s">
        <v>71</v>
      </c>
      <c r="C31" s="309" t="s">
        <v>26</v>
      </c>
      <c r="D31" s="309"/>
      <c r="E31" s="309"/>
      <c r="F31" s="309"/>
      <c r="G31" s="309"/>
      <c r="H31" s="309" t="s">
        <v>72</v>
      </c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09"/>
      <c r="V31" s="309"/>
      <c r="W31" s="309"/>
      <c r="X31" s="309"/>
      <c r="Y31" s="309"/>
      <c r="Z31" s="309"/>
      <c r="AA31" s="309" t="s">
        <v>44</v>
      </c>
      <c r="AB31" s="309"/>
      <c r="AC31" s="309"/>
      <c r="AD31" s="309"/>
      <c r="AE31" s="309"/>
      <c r="AF31" s="309"/>
      <c r="AG31" s="309"/>
      <c r="AH31" s="309"/>
      <c r="AI31" s="309"/>
    </row>
    <row r="32" ht="36" customHeight="1" spans="1:35">
      <c r="A32" s="309"/>
      <c r="B32" s="309"/>
      <c r="C32" s="309"/>
      <c r="D32" s="309"/>
      <c r="E32" s="309"/>
      <c r="F32" s="309"/>
      <c r="G32" s="309"/>
      <c r="H32" s="309" t="s">
        <v>63</v>
      </c>
      <c r="I32" s="309"/>
      <c r="J32" s="309"/>
      <c r="K32" s="309"/>
      <c r="L32" s="309"/>
      <c r="M32" s="309" t="s">
        <v>64</v>
      </c>
      <c r="N32" s="309"/>
      <c r="O32" s="309"/>
      <c r="P32" s="309"/>
      <c r="Q32" s="309" t="s">
        <v>65</v>
      </c>
      <c r="R32" s="309"/>
      <c r="S32" s="309"/>
      <c r="T32" s="309"/>
      <c r="U32" s="309" t="s">
        <v>66</v>
      </c>
      <c r="V32" s="309"/>
      <c r="W32" s="309" t="s">
        <v>67</v>
      </c>
      <c r="X32" s="309"/>
      <c r="Y32" s="309" t="s">
        <v>68</v>
      </c>
      <c r="Z32" s="309"/>
      <c r="AA32" s="309"/>
      <c r="AB32" s="309"/>
      <c r="AC32" s="309"/>
      <c r="AD32" s="309"/>
      <c r="AE32" s="309"/>
      <c r="AF32" s="309"/>
      <c r="AG32" s="309"/>
      <c r="AH32" s="309"/>
      <c r="AI32" s="309"/>
    </row>
    <row r="33" ht="36" customHeight="1" spans="1:35">
      <c r="A33" s="311">
        <v>1</v>
      </c>
      <c r="B33" s="311"/>
      <c r="C33" s="309"/>
      <c r="D33" s="309"/>
      <c r="E33" s="309"/>
      <c r="F33" s="309"/>
      <c r="G33" s="309"/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09"/>
      <c r="AA33" s="312"/>
      <c r="AB33" s="312"/>
      <c r="AC33" s="312"/>
      <c r="AD33" s="312"/>
      <c r="AE33" s="312"/>
      <c r="AF33" s="312"/>
      <c r="AG33" s="312"/>
      <c r="AH33" s="312"/>
      <c r="AI33" s="312"/>
    </row>
    <row r="34" ht="36" customHeight="1" spans="1:35">
      <c r="A34" s="308" t="s">
        <v>73</v>
      </c>
      <c r="B34" s="308"/>
      <c r="C34" s="308"/>
      <c r="D34" s="308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  <c r="P34" s="308"/>
      <c r="Q34" s="308"/>
      <c r="R34" s="308"/>
      <c r="S34" s="308"/>
      <c r="T34" s="308"/>
      <c r="U34" s="308"/>
      <c r="V34" s="308"/>
      <c r="W34" s="308"/>
      <c r="X34" s="308"/>
      <c r="Y34" s="308"/>
      <c r="Z34" s="308"/>
      <c r="AA34" s="308"/>
      <c r="AB34" s="308"/>
      <c r="AC34" s="308"/>
      <c r="AD34" s="308"/>
      <c r="AE34" s="308"/>
      <c r="AF34" s="308"/>
      <c r="AG34" s="308"/>
      <c r="AH34" s="308"/>
      <c r="AI34" s="308"/>
    </row>
    <row r="35" ht="30" customHeight="1" spans="1:35">
      <c r="A35" s="311" t="s">
        <v>24</v>
      </c>
      <c r="B35" s="309" t="s">
        <v>74</v>
      </c>
      <c r="C35" s="309"/>
      <c r="D35" s="309"/>
      <c r="E35" s="309"/>
      <c r="F35" s="309"/>
      <c r="G35" s="309"/>
      <c r="H35" s="309" t="s">
        <v>75</v>
      </c>
      <c r="I35" s="309"/>
      <c r="J35" s="309"/>
      <c r="K35" s="309"/>
      <c r="L35" s="309"/>
      <c r="M35" s="309"/>
      <c r="N35" s="309" t="s">
        <v>76</v>
      </c>
      <c r="O35" s="309"/>
      <c r="P35" s="309"/>
      <c r="Q35" s="309"/>
      <c r="R35" s="309"/>
      <c r="S35" s="309"/>
      <c r="T35" s="309"/>
      <c r="U35" s="309" t="s">
        <v>77</v>
      </c>
      <c r="V35" s="309"/>
      <c r="W35" s="309"/>
      <c r="X35" s="309"/>
      <c r="Y35" s="309"/>
      <c r="Z35" s="309"/>
      <c r="AA35" s="309" t="s">
        <v>78</v>
      </c>
      <c r="AB35" s="309"/>
      <c r="AC35" s="309"/>
      <c r="AD35" s="309"/>
      <c r="AE35" s="309"/>
      <c r="AF35" s="309"/>
      <c r="AG35" s="309"/>
      <c r="AH35" s="309"/>
      <c r="AI35" s="309"/>
    </row>
    <row r="36" ht="36.4" customHeight="1" spans="1:35">
      <c r="A36" s="311">
        <v>1</v>
      </c>
      <c r="B36" s="309"/>
      <c r="C36" s="309"/>
      <c r="D36" s="309"/>
      <c r="E36" s="309"/>
      <c r="F36" s="309"/>
      <c r="G36" s="309"/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312"/>
      <c r="T36" s="312"/>
      <c r="U36" s="309"/>
      <c r="V36" s="309"/>
      <c r="W36" s="309"/>
      <c r="X36" s="309"/>
      <c r="Y36" s="309"/>
      <c r="Z36" s="309"/>
      <c r="AA36" s="309"/>
      <c r="AB36" s="309"/>
      <c r="AC36" s="309"/>
      <c r="AD36" s="309"/>
      <c r="AE36" s="309"/>
      <c r="AF36" s="309"/>
      <c r="AG36" s="309"/>
      <c r="AH36" s="309"/>
      <c r="AI36" s="309"/>
    </row>
  </sheetData>
  <protectedRanges>
    <protectedRange sqref="A6:AI17" name="A6:AI17"/>
  </protectedRanges>
  <mergeCells count="158">
    <mergeCell ref="A1:AI1"/>
    <mergeCell ref="A2:AI2"/>
    <mergeCell ref="A3:B3"/>
    <mergeCell ref="C3:F3"/>
    <mergeCell ref="I3:Y3"/>
    <mergeCell ref="Z3:AB3"/>
    <mergeCell ref="AC3:AI3"/>
    <mergeCell ref="A4:Y4"/>
    <mergeCell ref="Z4:AI4"/>
    <mergeCell ref="A5:AI5"/>
    <mergeCell ref="A6:C6"/>
    <mergeCell ref="D6:G6"/>
    <mergeCell ref="H6:R6"/>
    <mergeCell ref="S6:W6"/>
    <mergeCell ref="X6:AF6"/>
    <mergeCell ref="AG6:AI6"/>
    <mergeCell ref="A7:C7"/>
    <mergeCell ref="D7:W7"/>
    <mergeCell ref="X7:AF7"/>
    <mergeCell ref="AG7:AI7"/>
    <mergeCell ref="A8:G8"/>
    <mergeCell ref="H8:R8"/>
    <mergeCell ref="S8:AF8"/>
    <mergeCell ref="AG8:AI8"/>
    <mergeCell ref="A9:C9"/>
    <mergeCell ref="D9:G9"/>
    <mergeCell ref="H9:K9"/>
    <mergeCell ref="L9:R9"/>
    <mergeCell ref="S9:W9"/>
    <mergeCell ref="X9:AA9"/>
    <mergeCell ref="AB9:AF9"/>
    <mergeCell ref="AG9:AI9"/>
    <mergeCell ref="A10:C10"/>
    <mergeCell ref="D10:G10"/>
    <mergeCell ref="H10:K10"/>
    <mergeCell ref="L10:R10"/>
    <mergeCell ref="S10:W10"/>
    <mergeCell ref="X10:AA10"/>
    <mergeCell ref="AB10:AF10"/>
    <mergeCell ref="AG10:AI10"/>
    <mergeCell ref="A11:AI11"/>
    <mergeCell ref="C12:P12"/>
    <mergeCell ref="Q12:Z12"/>
    <mergeCell ref="AA12:AI12"/>
    <mergeCell ref="C13:P13"/>
    <mergeCell ref="Q13:Z13"/>
    <mergeCell ref="AA13:AI13"/>
    <mergeCell ref="A14:AI14"/>
    <mergeCell ref="C15:G15"/>
    <mergeCell ref="H15:N15"/>
    <mergeCell ref="O15:W15"/>
    <mergeCell ref="X15:Z15"/>
    <mergeCell ref="AA15:AD15"/>
    <mergeCell ref="AE15:AF15"/>
    <mergeCell ref="AG15:AI15"/>
    <mergeCell ref="C16:G16"/>
    <mergeCell ref="H16:N16"/>
    <mergeCell ref="O16:W16"/>
    <mergeCell ref="X16:Z16"/>
    <mergeCell ref="AA16:AD16"/>
    <mergeCell ref="AE16:AF16"/>
    <mergeCell ref="AG16:AI16"/>
    <mergeCell ref="A17:AI17"/>
    <mergeCell ref="C18:G18"/>
    <mergeCell ref="H18:R18"/>
    <mergeCell ref="S18:U18"/>
    <mergeCell ref="V18:Z18"/>
    <mergeCell ref="AA18:AF18"/>
    <mergeCell ref="AG18:AI18"/>
    <mergeCell ref="C19:G19"/>
    <mergeCell ref="H19:R19"/>
    <mergeCell ref="S19:U19"/>
    <mergeCell ref="V19:Z19"/>
    <mergeCell ref="AA19:AF19"/>
    <mergeCell ref="AG19:AI19"/>
    <mergeCell ref="A20:AI20"/>
    <mergeCell ref="C21:G21"/>
    <mergeCell ref="H21:R21"/>
    <mergeCell ref="S21:Z21"/>
    <mergeCell ref="AA21:AI21"/>
    <mergeCell ref="C22:G22"/>
    <mergeCell ref="H22:R22"/>
    <mergeCell ref="S22:Z22"/>
    <mergeCell ref="AA22:AI22"/>
    <mergeCell ref="A23:AI23"/>
    <mergeCell ref="C24:F24"/>
    <mergeCell ref="H24:N24"/>
    <mergeCell ref="O24:R24"/>
    <mergeCell ref="S24:W24"/>
    <mergeCell ref="X24:AB24"/>
    <mergeCell ref="AC24:AF24"/>
    <mergeCell ref="AG24:AI24"/>
    <mergeCell ref="C25:F25"/>
    <mergeCell ref="H25:N25"/>
    <mergeCell ref="O25:R25"/>
    <mergeCell ref="S25:W25"/>
    <mergeCell ref="X25:AB25"/>
    <mergeCell ref="AC25:AF25"/>
    <mergeCell ref="AG25:AI25"/>
    <mergeCell ref="A26:AI26"/>
    <mergeCell ref="G27:Q27"/>
    <mergeCell ref="R27:AF27"/>
    <mergeCell ref="G28:H28"/>
    <mergeCell ref="K28:L28"/>
    <mergeCell ref="M28:O28"/>
    <mergeCell ref="P28:Q28"/>
    <mergeCell ref="R28:S28"/>
    <mergeCell ref="T28:W28"/>
    <mergeCell ref="X28:Y28"/>
    <mergeCell ref="Z28:AB28"/>
    <mergeCell ref="AC28:AE28"/>
    <mergeCell ref="C29:E29"/>
    <mergeCell ref="G29:H29"/>
    <mergeCell ref="K29:L29"/>
    <mergeCell ref="M29:O29"/>
    <mergeCell ref="P29:Q29"/>
    <mergeCell ref="R29:S29"/>
    <mergeCell ref="T29:W29"/>
    <mergeCell ref="X29:Y29"/>
    <mergeCell ref="Z29:AB29"/>
    <mergeCell ref="AC29:AE29"/>
    <mergeCell ref="AG29:AI29"/>
    <mergeCell ref="A30:AI30"/>
    <mergeCell ref="H31:Z31"/>
    <mergeCell ref="H32:L32"/>
    <mergeCell ref="M32:P32"/>
    <mergeCell ref="Q32:T32"/>
    <mergeCell ref="U32:V32"/>
    <mergeCell ref="W32:X32"/>
    <mergeCell ref="Y32:Z32"/>
    <mergeCell ref="C33:G33"/>
    <mergeCell ref="H33:L33"/>
    <mergeCell ref="M33:P33"/>
    <mergeCell ref="Q33:T33"/>
    <mergeCell ref="U33:V33"/>
    <mergeCell ref="W33:X33"/>
    <mergeCell ref="Y33:Z33"/>
    <mergeCell ref="AA33:AI33"/>
    <mergeCell ref="A34:AI34"/>
    <mergeCell ref="B35:G35"/>
    <mergeCell ref="H35:M35"/>
    <mergeCell ref="N35:T35"/>
    <mergeCell ref="U35:Z35"/>
    <mergeCell ref="AA35:AI35"/>
    <mergeCell ref="B36:G36"/>
    <mergeCell ref="H36:M36"/>
    <mergeCell ref="N36:T36"/>
    <mergeCell ref="U36:Z36"/>
    <mergeCell ref="AA36:AI36"/>
    <mergeCell ref="A27:A28"/>
    <mergeCell ref="A31:A32"/>
    <mergeCell ref="B27:B28"/>
    <mergeCell ref="B31:B32"/>
    <mergeCell ref="F27:F28"/>
    <mergeCell ref="C27:E28"/>
    <mergeCell ref="AG27:AI28"/>
    <mergeCell ref="AA31:AI32"/>
    <mergeCell ref="C31:G32"/>
  </mergeCells>
  <dataValidations count="1">
    <dataValidation type="list" allowBlank="1" showInputMessage="1" showErrorMessage="1" sqref="AG6:AI6">
      <formula1>"是,否"</formula1>
    </dataValidation>
  </dataValidations>
  <printOptions horizontalCentered="1"/>
  <pageMargins left="0.707638888888889" right="0.707638888888889" top="0.747916666666667" bottom="0.747916666666667" header="0.432638888888889" footer="0.313888888888889"/>
  <pageSetup paperSize="9" scale="45" fitToHeight="0" orientation="landscape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5"/>
  <sheetViews>
    <sheetView zoomScale="146" zoomScaleNormal="146" workbookViewId="0">
      <selection activeCell="L12" sqref="L12"/>
    </sheetView>
  </sheetViews>
  <sheetFormatPr defaultColWidth="8.875" defaultRowHeight="14.25"/>
  <cols>
    <col min="1" max="1" width="5.625" style="49" customWidth="1"/>
    <col min="2" max="3" width="9.375" style="49" customWidth="1"/>
    <col min="4" max="4" width="9.375" style="50" customWidth="1"/>
    <col min="5" max="6" width="9.375" customWidth="1"/>
    <col min="7" max="7" width="14.25" customWidth="1"/>
    <col min="8" max="9" width="9.375" style="51" customWidth="1"/>
  </cols>
  <sheetData>
    <row r="1" ht="34.5" customHeight="1" spans="1:9">
      <c r="A1" s="52" t="s">
        <v>351</v>
      </c>
      <c r="B1" s="53"/>
      <c r="C1" s="53"/>
      <c r="D1" s="53"/>
      <c r="E1" s="53"/>
      <c r="F1" s="53"/>
      <c r="G1" s="53"/>
      <c r="H1" s="54"/>
      <c r="I1" s="54"/>
    </row>
    <row r="2" s="47" customFormat="1" ht="15" spans="1:9">
      <c r="A2" s="55" t="str">
        <f>土地增值税税源明细表!F5&amp;"："&amp;土地增值税税源明细表!H5&amp;"          "&amp;土地增值税税源明细表!A5&amp;"："&amp;土地增值税税源明细表!B5&amp;"          "&amp;"金额单位:人民币元(列至角分)"</f>
        <v>项目编码：          项目名称：          金额单位:人民币元(列至角分)</v>
      </c>
      <c r="B2" s="55"/>
      <c r="C2" s="55"/>
      <c r="D2" s="55"/>
      <c r="E2" s="55"/>
      <c r="F2" s="55"/>
      <c r="G2" s="55"/>
      <c r="H2" s="56"/>
      <c r="I2" s="56"/>
    </row>
    <row r="3" s="48" customFormat="1" ht="27" spans="1:9">
      <c r="A3" s="57" t="s">
        <v>24</v>
      </c>
      <c r="B3" s="58" t="s">
        <v>352</v>
      </c>
      <c r="C3" s="58" t="s">
        <v>353</v>
      </c>
      <c r="D3" s="58" t="s">
        <v>327</v>
      </c>
      <c r="E3" s="58" t="s">
        <v>354</v>
      </c>
      <c r="F3" s="58" t="s">
        <v>355</v>
      </c>
      <c r="G3" s="59" t="s">
        <v>356</v>
      </c>
      <c r="H3" s="60" t="s">
        <v>300</v>
      </c>
      <c r="I3" s="60" t="s">
        <v>357</v>
      </c>
    </row>
    <row r="4" s="48" customFormat="1" ht="13.5" spans="1:9">
      <c r="A4" s="61"/>
      <c r="B4" s="333" t="s">
        <v>195</v>
      </c>
      <c r="C4" s="333" t="s">
        <v>169</v>
      </c>
      <c r="D4" s="333" t="s">
        <v>170</v>
      </c>
      <c r="E4" s="333" t="s">
        <v>171</v>
      </c>
      <c r="F4" s="333" t="s">
        <v>203</v>
      </c>
      <c r="G4" s="333" t="s">
        <v>173</v>
      </c>
      <c r="H4" s="333" t="s">
        <v>174</v>
      </c>
      <c r="I4" s="333" t="s">
        <v>175</v>
      </c>
    </row>
    <row r="5" ht="30" customHeight="1" spans="1:9">
      <c r="A5" s="63">
        <v>1</v>
      </c>
      <c r="B5" s="64"/>
      <c r="C5" s="64"/>
      <c r="D5" s="65"/>
      <c r="E5" s="64"/>
      <c r="F5" s="66"/>
      <c r="G5" s="67"/>
      <c r="H5" s="68"/>
      <c r="I5" s="68"/>
    </row>
    <row r="6" ht="27" customHeight="1" spans="1:9">
      <c r="A6" s="63">
        <v>2</v>
      </c>
      <c r="B6" s="64"/>
      <c r="C6" s="64"/>
      <c r="D6" s="65"/>
      <c r="E6" s="64"/>
      <c r="F6" s="66"/>
      <c r="G6" s="67"/>
      <c r="H6" s="68"/>
      <c r="I6" s="68"/>
    </row>
    <row r="7" ht="27" customHeight="1" spans="1:9">
      <c r="A7" s="63">
        <v>3</v>
      </c>
      <c r="B7" s="64"/>
      <c r="C7" s="64"/>
      <c r="D7" s="64"/>
      <c r="F7" s="66"/>
      <c r="G7" s="67"/>
      <c r="H7" s="68"/>
      <c r="I7" s="68"/>
    </row>
    <row r="8" ht="27" customHeight="1" spans="1:9">
      <c r="A8" s="63">
        <v>4</v>
      </c>
      <c r="B8" s="64"/>
      <c r="C8" s="64"/>
      <c r="D8" s="65"/>
      <c r="E8" s="64"/>
      <c r="F8" s="66"/>
      <c r="G8" s="67"/>
      <c r="H8" s="68"/>
      <c r="I8" s="68"/>
    </row>
    <row r="9" ht="27" customHeight="1" spans="1:9">
      <c r="A9" s="63">
        <v>5</v>
      </c>
      <c r="B9" s="64"/>
      <c r="C9" s="64"/>
      <c r="D9" s="65"/>
      <c r="E9" s="64"/>
      <c r="F9" s="66"/>
      <c r="G9" s="67"/>
      <c r="H9" s="68"/>
      <c r="I9" s="68"/>
    </row>
    <row r="10" ht="27" customHeight="1" spans="1:9">
      <c r="A10" s="63">
        <v>6</v>
      </c>
      <c r="B10" s="64"/>
      <c r="C10" s="64"/>
      <c r="D10" s="65"/>
      <c r="E10" s="64"/>
      <c r="F10" s="66"/>
      <c r="G10" s="67"/>
      <c r="H10" s="68"/>
      <c r="I10" s="68"/>
    </row>
    <row r="11" ht="27" customHeight="1" spans="1:9">
      <c r="A11" s="63">
        <v>7</v>
      </c>
      <c r="B11" s="64"/>
      <c r="C11" s="64"/>
      <c r="D11" s="65"/>
      <c r="E11" s="64"/>
      <c r="F11" s="66"/>
      <c r="G11" s="67"/>
      <c r="H11" s="68"/>
      <c r="I11" s="68"/>
    </row>
    <row r="12" ht="27" customHeight="1" spans="1:9">
      <c r="A12" s="63">
        <v>8</v>
      </c>
      <c r="B12" s="64"/>
      <c r="C12" s="64"/>
      <c r="D12" s="65"/>
      <c r="E12" s="64"/>
      <c r="F12" s="66"/>
      <c r="G12" s="67"/>
      <c r="H12" s="68"/>
      <c r="I12" s="68"/>
    </row>
    <row r="13" ht="27" customHeight="1" spans="1:9">
      <c r="A13" s="63">
        <v>9</v>
      </c>
      <c r="B13" s="64"/>
      <c r="C13" s="64"/>
      <c r="D13" s="65"/>
      <c r="E13" s="64"/>
      <c r="F13" s="66"/>
      <c r="G13" s="67"/>
      <c r="H13" s="68"/>
      <c r="I13" s="68"/>
    </row>
    <row r="14" ht="27" customHeight="1" spans="1:9">
      <c r="A14" s="63">
        <v>10</v>
      </c>
      <c r="B14" s="64"/>
      <c r="C14" s="64"/>
      <c r="D14" s="65"/>
      <c r="E14" s="64"/>
      <c r="F14" s="66"/>
      <c r="G14" s="67"/>
      <c r="H14" s="68"/>
      <c r="I14" s="68"/>
    </row>
    <row r="15" ht="27" customHeight="1" spans="1:9">
      <c r="A15" s="63">
        <v>11</v>
      </c>
      <c r="B15" s="64"/>
      <c r="C15" s="64"/>
      <c r="D15" s="65"/>
      <c r="E15" s="64"/>
      <c r="F15" s="66"/>
      <c r="G15" s="67"/>
      <c r="H15" s="68"/>
      <c r="I15" s="68"/>
    </row>
  </sheetData>
  <mergeCells count="3">
    <mergeCell ref="A1:I1"/>
    <mergeCell ref="A2:I2"/>
    <mergeCell ref="A3:A4"/>
  </mergeCells>
  <dataValidations count="2">
    <dataValidation type="list" allowBlank="1" showInputMessage="1" showErrorMessage="1" sqref="D5:D1048576">
      <formula1>OFFSET(数据对照表!$U$2,,,COUNTA(数据对照表!U:U)-1,1)</formula1>
    </dataValidation>
    <dataValidation type="list" allowBlank="1" showInputMessage="1" showErrorMessage="1" sqref="F5:F1048576">
      <formula1>"是,否"</formula1>
    </dataValidation>
  </dataValidations>
  <printOptions horizontalCentered="1"/>
  <pageMargins left="0.747916666666667" right="0.747916666666667" top="0.984027777777778" bottom="0.984027777777778" header="0.511805555555556" footer="0.511805555555556"/>
  <pageSetup paperSize="9" fitToHeight="0" orientation="landscape"/>
  <headerFooter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6"/>
  <sheetViews>
    <sheetView zoomScale="85" zoomScaleNormal="85" topLeftCell="A4" workbookViewId="0">
      <selection activeCell="B16" sqref="B16"/>
    </sheetView>
  </sheetViews>
  <sheetFormatPr defaultColWidth="7" defaultRowHeight="14.25"/>
  <cols>
    <col min="1" max="1" width="8.875" style="14" customWidth="1"/>
    <col min="2" max="2" width="14.125" style="14" customWidth="1"/>
    <col min="3" max="10" width="9.625" style="10" customWidth="1"/>
    <col min="11" max="11" width="11.375" style="10" customWidth="1"/>
    <col min="12" max="17" width="9.625" style="14" customWidth="1"/>
    <col min="18" max="19" width="9.625" style="10" customWidth="1"/>
    <col min="20" max="20" width="9.625" style="16" customWidth="1"/>
    <col min="21" max="21" width="9.625" style="17" customWidth="1"/>
    <col min="22" max="16384" width="7" style="18"/>
  </cols>
  <sheetData>
    <row r="1" s="10" customFormat="1" ht="24" customHeight="1" spans="1:21">
      <c r="A1" s="19" t="s">
        <v>358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="10" customFormat="1" ht="24" customHeight="1" spans="1:21">
      <c r="A2" s="20" t="str">
        <f>土地增值税税源明细表!F5&amp;"："&amp;土地增值税税源明细表!H5&amp;"          "&amp;土地增值税税源明细表!A5&amp;"："&amp;土地增值税税源明细表!B5</f>
        <v>项目编码：          项目名称：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="11" customFormat="1" ht="24" customHeight="1" spans="1:21">
      <c r="A3" s="21" t="s">
        <v>359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="12" customFormat="1" ht="24" customHeight="1" spans="1:21">
      <c r="A4" s="23" t="s">
        <v>360</v>
      </c>
      <c r="B4" s="23" t="s">
        <v>361</v>
      </c>
      <c r="C4" s="24" t="str">
        <f>数据对照表!E2</f>
        <v>桩基础工程费用</v>
      </c>
      <c r="D4" s="25" t="str">
        <f>数据对照表!E3</f>
        <v>地下室工程费用</v>
      </c>
      <c r="E4" s="25" t="str">
        <f>数据对照表!E4</f>
        <v>地上建筑工程费用</v>
      </c>
      <c r="F4" s="25" t="str">
        <f>数据对照表!E5</f>
        <v>户内装修费用</v>
      </c>
      <c r="G4" s="25" t="str">
        <f>数据对照表!E6</f>
        <v>高档外立面工程费用</v>
      </c>
      <c r="H4" s="25" t="str">
        <f>数据对照表!F11</f>
        <v>绿化费用</v>
      </c>
      <c r="I4" s="25" t="str">
        <f>数据对照表!D3</f>
        <v>设计费用</v>
      </c>
      <c r="J4" s="25" t="str">
        <f>数据对照表!F2</f>
        <v>开发小区内道路工程支出</v>
      </c>
      <c r="K4" s="25" t="s">
        <v>362</v>
      </c>
      <c r="L4" s="25" t="s">
        <v>363</v>
      </c>
      <c r="M4" s="25" t="s">
        <v>364</v>
      </c>
      <c r="N4" s="25" t="s">
        <v>365</v>
      </c>
      <c r="O4" s="41" t="s">
        <v>366</v>
      </c>
      <c r="P4" s="25" t="s">
        <v>367</v>
      </c>
      <c r="Q4" s="25" t="s">
        <v>368</v>
      </c>
      <c r="R4" s="41" t="s">
        <v>369</v>
      </c>
      <c r="S4" s="25" t="s">
        <v>370</v>
      </c>
      <c r="T4" s="25" t="s">
        <v>371</v>
      </c>
      <c r="U4" s="25" t="s">
        <v>372</v>
      </c>
    </row>
    <row r="5" s="13" customFormat="1" ht="24" customHeight="1" spans="1:21">
      <c r="A5" s="23"/>
      <c r="B5" s="23"/>
      <c r="C5" s="26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41"/>
      <c r="P5" s="25"/>
      <c r="Q5" s="25"/>
      <c r="R5" s="41"/>
      <c r="S5" s="25"/>
      <c r="T5" s="25"/>
      <c r="U5" s="25"/>
    </row>
    <row r="6" s="13" customFormat="1" ht="39" customHeight="1" spans="1:21">
      <c r="A6" s="23"/>
      <c r="B6" s="23"/>
      <c r="C6" s="27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41"/>
      <c r="P6" s="25"/>
      <c r="Q6" s="25"/>
      <c r="R6" s="41"/>
      <c r="S6" s="25"/>
      <c r="T6" s="25"/>
      <c r="U6" s="25"/>
    </row>
    <row r="7" s="13" customFormat="1" ht="24" customHeight="1" spans="1:21">
      <c r="A7" s="23"/>
      <c r="B7" s="23"/>
      <c r="C7" s="334" t="s">
        <v>195</v>
      </c>
      <c r="D7" s="334" t="s">
        <v>169</v>
      </c>
      <c r="E7" s="334" t="s">
        <v>170</v>
      </c>
      <c r="F7" s="334" t="s">
        <v>171</v>
      </c>
      <c r="G7" s="334" t="s">
        <v>203</v>
      </c>
      <c r="H7" s="334" t="s">
        <v>173</v>
      </c>
      <c r="I7" s="334" t="s">
        <v>174</v>
      </c>
      <c r="J7" s="334" t="s">
        <v>175</v>
      </c>
      <c r="K7" s="334" t="s">
        <v>182</v>
      </c>
      <c r="L7" s="334" t="s">
        <v>183</v>
      </c>
      <c r="M7" s="334" t="s">
        <v>212</v>
      </c>
      <c r="N7" s="334" t="s">
        <v>185</v>
      </c>
      <c r="O7" s="334" t="s">
        <v>186</v>
      </c>
      <c r="P7" s="334" t="s">
        <v>187</v>
      </c>
      <c r="Q7" s="334" t="s">
        <v>188</v>
      </c>
      <c r="R7" s="334" t="s">
        <v>215</v>
      </c>
      <c r="S7" s="334" t="s">
        <v>216</v>
      </c>
      <c r="T7" s="334" t="s">
        <v>217</v>
      </c>
      <c r="U7" s="334" t="s">
        <v>219</v>
      </c>
    </row>
    <row r="8" s="14" customFormat="1" ht="24" customHeight="1" spans="1:21">
      <c r="A8" s="28" t="s">
        <v>373</v>
      </c>
      <c r="B8" s="29" t="s">
        <v>374</v>
      </c>
      <c r="C8" s="30" t="s">
        <v>375</v>
      </c>
      <c r="D8" s="30" t="s">
        <v>375</v>
      </c>
      <c r="E8" s="30" t="s">
        <v>375</v>
      </c>
      <c r="F8" s="30" t="s">
        <v>375</v>
      </c>
      <c r="G8" s="30" t="s">
        <v>375</v>
      </c>
      <c r="H8" s="30" t="s">
        <v>375</v>
      </c>
      <c r="I8" s="30" t="s">
        <v>375</v>
      </c>
      <c r="J8" s="30" t="s">
        <v>375</v>
      </c>
      <c r="K8" s="30" t="s">
        <v>154</v>
      </c>
      <c r="L8" s="30" t="s">
        <v>154</v>
      </c>
      <c r="M8" s="30" t="s">
        <v>154</v>
      </c>
      <c r="N8" s="30" t="s">
        <v>154</v>
      </c>
      <c r="O8" s="30" t="s">
        <v>154</v>
      </c>
      <c r="P8" s="30" t="s">
        <v>154</v>
      </c>
      <c r="Q8" s="30" t="s">
        <v>154</v>
      </c>
      <c r="R8" s="30" t="s">
        <v>154</v>
      </c>
      <c r="S8" s="30" t="s">
        <v>154</v>
      </c>
      <c r="T8" s="30" t="s">
        <v>154</v>
      </c>
      <c r="U8" s="30" t="s">
        <v>154</v>
      </c>
    </row>
    <row r="9" s="15" customFormat="1" ht="24" customHeight="1" spans="1:21">
      <c r="A9" s="28"/>
      <c r="B9" s="31" t="s">
        <v>376</v>
      </c>
      <c r="C9" s="32">
        <f>'附表1-面积统计表'!D29</f>
        <v>0</v>
      </c>
      <c r="D9" s="32">
        <f>SUMIFS('附表6-收入明细采集底稿'!P:P,'附表6-收入明细采集底稿'!D:D,"&lt;0")</f>
        <v>0</v>
      </c>
      <c r="E9" s="32">
        <f>SUMIFS('附表6-收入明细采集底稿'!P:P,'附表6-收入明细采集底稿'!D:D,"&gt;0")</f>
        <v>0</v>
      </c>
      <c r="F9" s="32" t="s">
        <v>154</v>
      </c>
      <c r="G9" s="32" t="s">
        <v>154</v>
      </c>
      <c r="H9" s="30">
        <f>SUM(清算项目基本情况表!D9)*SUM(清算项目基本情况表!D10)</f>
        <v>0</v>
      </c>
      <c r="I9" s="30">
        <f>'附表1-面积统计表'!D29</f>
        <v>0</v>
      </c>
      <c r="J9" s="30" t="s">
        <v>154</v>
      </c>
      <c r="K9" s="30" t="s">
        <v>154</v>
      </c>
      <c r="L9" s="30" t="s">
        <v>154</v>
      </c>
      <c r="M9" s="30" t="s">
        <v>154</v>
      </c>
      <c r="N9" s="30" t="s">
        <v>154</v>
      </c>
      <c r="O9" s="30" t="s">
        <v>154</v>
      </c>
      <c r="P9" s="30" t="s">
        <v>154</v>
      </c>
      <c r="Q9" s="30" t="s">
        <v>154</v>
      </c>
      <c r="R9" s="30" t="s">
        <v>154</v>
      </c>
      <c r="S9" s="30" t="s">
        <v>154</v>
      </c>
      <c r="T9" s="30" t="s">
        <v>154</v>
      </c>
      <c r="U9" s="30" t="s">
        <v>154</v>
      </c>
    </row>
    <row r="10" s="15" customFormat="1" ht="24" customHeight="1" spans="1:21">
      <c r="A10" s="28"/>
      <c r="B10" s="31" t="s">
        <v>377</v>
      </c>
      <c r="C10" s="32">
        <f>'附表5-扣除项目统计表'!M30</f>
        <v>0</v>
      </c>
      <c r="D10" s="32">
        <f>'附表5-扣除项目统计表'!M31</f>
        <v>0</v>
      </c>
      <c r="E10" s="32">
        <f>'附表5-扣除项目统计表'!M32</f>
        <v>0</v>
      </c>
      <c r="F10" s="32">
        <f>'附表5-扣除项目统计表'!M33</f>
        <v>0</v>
      </c>
      <c r="G10" s="32">
        <f>'附表5-扣除项目统计表'!M34</f>
        <v>0</v>
      </c>
      <c r="H10" s="30">
        <f>'附表5-扣除项目统计表'!M46</f>
        <v>0</v>
      </c>
      <c r="I10" s="30">
        <f>'附表5-扣除项目统计表'!M21</f>
        <v>0</v>
      </c>
      <c r="J10" s="30">
        <f>'附表5-扣除项目统计表'!M37</f>
        <v>0</v>
      </c>
      <c r="K10" s="30" t="s">
        <v>154</v>
      </c>
      <c r="L10" s="30" t="s">
        <v>154</v>
      </c>
      <c r="M10" s="30" t="s">
        <v>154</v>
      </c>
      <c r="N10" s="30" t="s">
        <v>154</v>
      </c>
      <c r="O10" s="30" t="s">
        <v>154</v>
      </c>
      <c r="P10" s="30" t="s">
        <v>154</v>
      </c>
      <c r="Q10" s="30" t="s">
        <v>154</v>
      </c>
      <c r="R10" s="30" t="s">
        <v>154</v>
      </c>
      <c r="S10" s="30" t="s">
        <v>154</v>
      </c>
      <c r="T10" s="30" t="s">
        <v>154</v>
      </c>
      <c r="U10" s="30" t="s">
        <v>154</v>
      </c>
    </row>
    <row r="11" s="15" customFormat="1" ht="24" customHeight="1" spans="1:21">
      <c r="A11" s="28"/>
      <c r="B11" s="31" t="s">
        <v>378</v>
      </c>
      <c r="C11" s="32" t="str">
        <f t="shared" ref="C11:U11" si="0">IF(SUM(C9)=0,"",ROUND((SUM(C10)/SUM(C9)),2))</f>
        <v/>
      </c>
      <c r="D11" s="32" t="str">
        <f t="shared" si="0"/>
        <v/>
      </c>
      <c r="E11" s="32" t="str">
        <f t="shared" si="0"/>
        <v/>
      </c>
      <c r="F11" s="32" t="str">
        <f t="shared" si="0"/>
        <v/>
      </c>
      <c r="G11" s="32" t="str">
        <f t="shared" si="0"/>
        <v/>
      </c>
      <c r="H11" s="32" t="str">
        <f t="shared" si="0"/>
        <v/>
      </c>
      <c r="I11" s="32" t="str">
        <f t="shared" si="0"/>
        <v/>
      </c>
      <c r="J11" s="32" t="str">
        <f t="shared" si="0"/>
        <v/>
      </c>
      <c r="K11" s="32" t="str">
        <f t="shared" si="0"/>
        <v/>
      </c>
      <c r="L11" s="32" t="str">
        <f t="shared" si="0"/>
        <v/>
      </c>
      <c r="M11" s="32" t="str">
        <f t="shared" si="0"/>
        <v/>
      </c>
      <c r="N11" s="32" t="str">
        <f t="shared" si="0"/>
        <v/>
      </c>
      <c r="O11" s="32" t="str">
        <f t="shared" si="0"/>
        <v/>
      </c>
      <c r="P11" s="32" t="str">
        <f t="shared" si="0"/>
        <v/>
      </c>
      <c r="Q11" s="32" t="str">
        <f t="shared" si="0"/>
        <v/>
      </c>
      <c r="R11" s="32" t="str">
        <f t="shared" si="0"/>
        <v/>
      </c>
      <c r="S11" s="32" t="str">
        <f t="shared" si="0"/>
        <v/>
      </c>
      <c r="T11" s="32" t="str">
        <f t="shared" si="0"/>
        <v/>
      </c>
      <c r="U11" s="32" t="str">
        <f t="shared" si="0"/>
        <v/>
      </c>
    </row>
    <row r="12" s="13" customFormat="1" ht="24" customHeight="1" spans="1:21">
      <c r="A12" s="33" t="s">
        <v>379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</row>
    <row r="13" s="11" customFormat="1" ht="24" customHeight="1" spans="1:21">
      <c r="A13" s="33" t="s">
        <v>24</v>
      </c>
      <c r="B13" s="33" t="s">
        <v>291</v>
      </c>
      <c r="C13" s="33" t="s">
        <v>380</v>
      </c>
      <c r="D13" s="33" t="s">
        <v>381</v>
      </c>
      <c r="E13" s="33" t="s">
        <v>382</v>
      </c>
      <c r="F13" s="34" t="s">
        <v>383</v>
      </c>
      <c r="G13" s="33" t="s">
        <v>384</v>
      </c>
      <c r="H13" s="33" t="s">
        <v>385</v>
      </c>
      <c r="I13" s="33" t="s">
        <v>386</v>
      </c>
      <c r="J13" s="33" t="s">
        <v>387</v>
      </c>
      <c r="K13" s="33" t="s">
        <v>388</v>
      </c>
      <c r="L13" s="33" t="s">
        <v>389</v>
      </c>
      <c r="M13" s="33"/>
      <c r="N13" s="33"/>
      <c r="O13" s="33" t="s">
        <v>390</v>
      </c>
      <c r="P13" s="33"/>
      <c r="Q13" s="33"/>
      <c r="R13" s="44" t="s">
        <v>391</v>
      </c>
      <c r="S13" s="33" t="s">
        <v>392</v>
      </c>
      <c r="T13" s="45" t="s">
        <v>393</v>
      </c>
      <c r="U13" s="45" t="s">
        <v>394</v>
      </c>
    </row>
    <row r="14" s="11" customFormat="1" ht="24" customHeight="1" spans="1:21">
      <c r="A14" s="33"/>
      <c r="B14" s="33"/>
      <c r="C14" s="33"/>
      <c r="D14" s="33"/>
      <c r="E14" s="33"/>
      <c r="F14" s="34"/>
      <c r="G14" s="33"/>
      <c r="H14" s="33"/>
      <c r="I14" s="33"/>
      <c r="J14" s="33"/>
      <c r="K14" s="33"/>
      <c r="L14" s="335" t="s">
        <v>395</v>
      </c>
      <c r="M14" s="335" t="s">
        <v>396</v>
      </c>
      <c r="N14" s="335" t="s">
        <v>397</v>
      </c>
      <c r="O14" s="335" t="s">
        <v>395</v>
      </c>
      <c r="P14" s="335" t="s">
        <v>396</v>
      </c>
      <c r="Q14" s="335" t="s">
        <v>397</v>
      </c>
      <c r="R14" s="46"/>
      <c r="S14" s="33"/>
      <c r="T14" s="45"/>
      <c r="U14" s="45"/>
    </row>
    <row r="15" s="11" customFormat="1" ht="24" customHeight="1" spans="1:21">
      <c r="A15" s="33"/>
      <c r="B15" s="336" t="s">
        <v>221</v>
      </c>
      <c r="C15" s="336" t="s">
        <v>233</v>
      </c>
      <c r="D15" s="336" t="s">
        <v>223</v>
      </c>
      <c r="E15" s="336" t="s">
        <v>234</v>
      </c>
      <c r="F15" s="336" t="s">
        <v>235</v>
      </c>
      <c r="G15" s="336" t="s">
        <v>236</v>
      </c>
      <c r="H15" s="336" t="s">
        <v>237</v>
      </c>
      <c r="I15" s="336" t="s">
        <v>238</v>
      </c>
      <c r="J15" s="336" t="s">
        <v>239</v>
      </c>
      <c r="K15" s="336" t="s">
        <v>240</v>
      </c>
      <c r="L15" s="336" t="s">
        <v>241</v>
      </c>
      <c r="M15" s="336" t="s">
        <v>242</v>
      </c>
      <c r="N15" s="336" t="s">
        <v>243</v>
      </c>
      <c r="O15" s="336" t="s">
        <v>244</v>
      </c>
      <c r="P15" s="336" t="s">
        <v>245</v>
      </c>
      <c r="Q15" s="336" t="s">
        <v>246</v>
      </c>
      <c r="R15" s="336" t="s">
        <v>247</v>
      </c>
      <c r="S15" s="336" t="s">
        <v>248</v>
      </c>
      <c r="T15" s="336" t="s">
        <v>249</v>
      </c>
      <c r="U15" s="336" t="s">
        <v>250</v>
      </c>
    </row>
    <row r="16" s="10" customFormat="1" ht="24" customHeight="1" spans="1:21">
      <c r="A16" s="29"/>
      <c r="B16" s="35" t="s">
        <v>154</v>
      </c>
      <c r="C16" s="36"/>
      <c r="D16" s="37"/>
      <c r="E16" s="37"/>
      <c r="F16" s="38"/>
      <c r="G16" s="29"/>
      <c r="H16" s="29"/>
      <c r="I16" s="43">
        <f>IF(_xlfn.MAXIFS('附表6-收入明细采集底稿'!D:D,'附表6-收入明细采集底稿'!B:B,B16)&gt;0,_xlfn.MAXIFS('附表6-收入明细采集底稿'!D:D,'附表6-收入明细采集底稿'!B:B,B16),0)</f>
        <v>0</v>
      </c>
      <c r="J16" s="43">
        <f>IF(_xlfn.MINIFS('附表6-收入明细采集底稿'!D:D,'附表6-收入明细采集底稿'!B:B,B16)&lt;0,ABS(_xlfn.MINIFS('附表6-收入明细采集底稿'!D:D,'附表6-收入明细采集底稿'!B:B,B16)),0)</f>
        <v>0</v>
      </c>
      <c r="K16" s="30">
        <f>SUMIFS('附表6-收入明细采集底稿'!P:P,'附表6-收入明细采集底稿'!B:B,B16,'附表6-收入明细采集底稿'!D:D,"&gt;0")</f>
        <v>0</v>
      </c>
      <c r="L16" s="30">
        <f>SUMIFS('附表6-收入明细采集底稿'!P:P,'附表6-收入明细采集底稿'!B:B,B16,'附表6-收入明细采集底稿'!D:D,"=-1")</f>
        <v>0</v>
      </c>
      <c r="M16" s="30">
        <f>SUMIFS('附表6-收入明细采集底稿'!P:P,'附表6-收入明细采集底稿'!B:B,B16,'附表6-收入明细采集底稿'!D:D,"=-2")</f>
        <v>0</v>
      </c>
      <c r="N16" s="30">
        <f>SUMIFS('附表6-收入明细采集底稿'!P:P,'附表6-收入明细采集底稿'!B:B,B16,'附表6-收入明细采集底稿'!D:D,"&lt;-2")</f>
        <v>0</v>
      </c>
      <c r="O16" s="30">
        <f>SUMIFS('附表6-收入明细采集底稿'!P:P,'附表6-收入明细采集底稿'!B:B,B16,'附表6-收入明细采集底稿'!D:D,"-1",'附表6-收入明细采集底稿'!G:G,数据对照表!$A$12)</f>
        <v>0</v>
      </c>
      <c r="P16" s="30">
        <f>SUMIFS('附表6-收入明细采集底稿'!P:P,'附表6-收入明细采集底稿'!B:B,B16,'附表6-收入明细采集底稿'!D:D,"-2",'附表6-收入明细采集底稿'!G:G,数据对照表!$A$12)</f>
        <v>0</v>
      </c>
      <c r="Q16" s="30">
        <f>SUMIFS('附表6-收入明细采集底稿'!P:P,'附表6-收入明细采集底稿'!B:B,B16,'附表6-收入明细采集底稿'!D:D,"&lt;-2",'附表6-收入明细采集底稿'!G:G,数据对照表!$A$12)</f>
        <v>0</v>
      </c>
      <c r="R16" s="30">
        <f>SUMIFS('附表6-收入明细采集底稿'!P:P,'附表6-收入明细采集底稿'!B:B,B16)</f>
        <v>0</v>
      </c>
      <c r="S16" s="32" t="s">
        <v>154</v>
      </c>
      <c r="T16" s="40"/>
      <c r="U16" s="40"/>
    </row>
    <row r="17" s="10" customFormat="1" ht="24" customHeight="1" spans="1:21">
      <c r="A17" s="29"/>
      <c r="B17" s="35"/>
      <c r="C17" s="39"/>
      <c r="D17" s="37"/>
      <c r="E17" s="37"/>
      <c r="F17" s="40"/>
      <c r="G17" s="29"/>
      <c r="H17" s="29"/>
      <c r="I17" s="43">
        <f>IF(_xlfn.MAXIFS('附表6-收入明细采集底稿'!D:D,'附表6-收入明细采集底稿'!B:B,B17)&gt;0,_xlfn.MAXIFS('附表6-收入明细采集底稿'!D:D,'附表6-收入明细采集底稿'!B:B,B17),0)</f>
        <v>0</v>
      </c>
      <c r="J17" s="43">
        <f>IF(_xlfn.MINIFS('附表6-收入明细采集底稿'!D:D,'附表6-收入明细采集底稿'!B:B,B17)&lt;0,ABS(_xlfn.MINIFS('附表6-收入明细采集底稿'!D:D,'附表6-收入明细采集底稿'!B:B,B17)),0)</f>
        <v>0</v>
      </c>
      <c r="K17" s="30">
        <f>SUMIFS('附表6-收入明细采集底稿'!P:P,'附表6-收入明细采集底稿'!B:B,B17,'附表6-收入明细采集底稿'!D:D,"&gt;0")</f>
        <v>0</v>
      </c>
      <c r="L17" s="30">
        <f>SUMIFS('附表6-收入明细采集底稿'!P:P,'附表6-收入明细采集底稿'!B:B,B17,'附表6-收入明细采集底稿'!D:D,"=-1")</f>
        <v>0</v>
      </c>
      <c r="M17" s="30">
        <f>SUMIFS('附表6-收入明细采集底稿'!P:P,'附表6-收入明细采集底稿'!B:B,B17,'附表6-收入明细采集底稿'!D:D,"=-2")</f>
        <v>0</v>
      </c>
      <c r="N17" s="30">
        <f>SUMIFS('附表6-收入明细采集底稿'!P:P,'附表6-收入明细采集底稿'!B:B,B17,'附表6-收入明细采集底稿'!D:D,"&lt;-2")</f>
        <v>0</v>
      </c>
      <c r="O17" s="30">
        <f>SUMIFS('附表6-收入明细采集底稿'!P:P,'附表6-收入明细采集底稿'!B:B,B17,'附表6-收入明细采集底稿'!D:D,"-1",'附表6-收入明细采集底稿'!G:G,数据对照表!$A$12)</f>
        <v>0</v>
      </c>
      <c r="P17" s="30">
        <f>SUMIFS('附表6-收入明细采集底稿'!P:P,'附表6-收入明细采集底稿'!B:B,B17,'附表6-收入明细采集底稿'!D:D,"-2",'附表6-收入明细采集底稿'!G:G,数据对照表!$A$12)</f>
        <v>0</v>
      </c>
      <c r="Q17" s="30">
        <f>SUMIFS('附表6-收入明细采集底稿'!P:P,'附表6-收入明细采集底稿'!B:B,B17,'附表6-收入明细采集底稿'!D:D,"&lt;-2",'附表6-收入明细采集底稿'!G:G,数据对照表!$A$12)</f>
        <v>0</v>
      </c>
      <c r="R17" s="30">
        <f>SUMIFS('附表6-收入明细采集底稿'!P:P,'附表6-收入明细采集底稿'!B:B,B17)</f>
        <v>0</v>
      </c>
      <c r="S17" s="32"/>
      <c r="T17" s="40"/>
      <c r="U17" s="40"/>
    </row>
    <row r="18" s="10" customFormat="1" ht="24" customHeight="1" spans="1:21">
      <c r="A18" s="29"/>
      <c r="B18" s="35"/>
      <c r="C18" s="39"/>
      <c r="D18" s="37"/>
      <c r="E18" s="37"/>
      <c r="F18" s="40"/>
      <c r="G18" s="29"/>
      <c r="H18" s="29"/>
      <c r="I18" s="43">
        <f>IF(_xlfn.MAXIFS('附表6-收入明细采集底稿'!D:D,'附表6-收入明细采集底稿'!B:B,B18)&gt;0,_xlfn.MAXIFS('附表6-收入明细采集底稿'!D:D,'附表6-收入明细采集底稿'!B:B,B18),0)</f>
        <v>0</v>
      </c>
      <c r="J18" s="43">
        <f>IF(_xlfn.MINIFS('附表6-收入明细采集底稿'!D:D,'附表6-收入明细采集底稿'!B:B,B18)&lt;0,ABS(_xlfn.MINIFS('附表6-收入明细采集底稿'!D:D,'附表6-收入明细采集底稿'!B:B,B18)),0)</f>
        <v>0</v>
      </c>
      <c r="K18" s="30">
        <f>SUMIFS('附表6-收入明细采集底稿'!P:P,'附表6-收入明细采集底稿'!B:B,B18,'附表6-收入明细采集底稿'!D:D,"&gt;0")</f>
        <v>0</v>
      </c>
      <c r="L18" s="30">
        <f>SUMIFS('附表6-收入明细采集底稿'!P:P,'附表6-收入明细采集底稿'!B:B,B18,'附表6-收入明细采集底稿'!D:D,"=-1")</f>
        <v>0</v>
      </c>
      <c r="M18" s="30">
        <f>SUMIFS('附表6-收入明细采集底稿'!P:P,'附表6-收入明细采集底稿'!B:B,B18,'附表6-收入明细采集底稿'!D:D,"=-2")</f>
        <v>0</v>
      </c>
      <c r="N18" s="30">
        <f>SUMIFS('附表6-收入明细采集底稿'!P:P,'附表6-收入明细采集底稿'!B:B,B18,'附表6-收入明细采集底稿'!D:D,"&lt;-2")</f>
        <v>0</v>
      </c>
      <c r="O18" s="30">
        <f>SUMIFS('附表6-收入明细采集底稿'!P:P,'附表6-收入明细采集底稿'!B:B,B18,'附表6-收入明细采集底稿'!D:D,"-1",'附表6-收入明细采集底稿'!G:G,数据对照表!$A$12)</f>
        <v>0</v>
      </c>
      <c r="P18" s="30">
        <f>SUMIFS('附表6-收入明细采集底稿'!P:P,'附表6-收入明细采集底稿'!B:B,B18,'附表6-收入明细采集底稿'!D:D,"-2",'附表6-收入明细采集底稿'!G:G,数据对照表!$A$12)</f>
        <v>0</v>
      </c>
      <c r="Q18" s="30">
        <f>SUMIFS('附表6-收入明细采集底稿'!P:P,'附表6-收入明细采集底稿'!B:B,B18,'附表6-收入明细采集底稿'!D:D,"&lt;-2",'附表6-收入明细采集底稿'!G:G,数据对照表!$A$12)</f>
        <v>0</v>
      </c>
      <c r="R18" s="30">
        <f>SUMIFS('附表6-收入明细采集底稿'!P:P,'附表6-收入明细采集底稿'!B:B,B18)</f>
        <v>0</v>
      </c>
      <c r="S18" s="32"/>
      <c r="T18" s="40"/>
      <c r="U18" s="40"/>
    </row>
    <row r="19" s="10" customFormat="1" ht="24" customHeight="1" spans="1:21">
      <c r="A19" s="29"/>
      <c r="B19" s="35"/>
      <c r="C19" s="39"/>
      <c r="D19" s="37"/>
      <c r="E19" s="37"/>
      <c r="F19" s="40"/>
      <c r="G19" s="29"/>
      <c r="H19" s="29"/>
      <c r="I19" s="43">
        <f>IF(_xlfn.MAXIFS('附表6-收入明细采集底稿'!D:D,'附表6-收入明细采集底稿'!B:B,B19)&gt;0,_xlfn.MAXIFS('附表6-收入明细采集底稿'!D:D,'附表6-收入明细采集底稿'!B:B,B19),0)</f>
        <v>0</v>
      </c>
      <c r="J19" s="43">
        <f>IF(_xlfn.MINIFS('附表6-收入明细采集底稿'!D:D,'附表6-收入明细采集底稿'!B:B,B19)&lt;0,ABS(_xlfn.MINIFS('附表6-收入明细采集底稿'!D:D,'附表6-收入明细采集底稿'!B:B,B19)),0)</f>
        <v>0</v>
      </c>
      <c r="K19" s="30">
        <f>SUMIFS('附表6-收入明细采集底稿'!P:P,'附表6-收入明细采集底稿'!B:B,B19,'附表6-收入明细采集底稿'!D:D,"&gt;0")</f>
        <v>0</v>
      </c>
      <c r="L19" s="30">
        <f>SUMIFS('附表6-收入明细采集底稿'!P:P,'附表6-收入明细采集底稿'!B:B,B19,'附表6-收入明细采集底稿'!D:D,"=-1")</f>
        <v>0</v>
      </c>
      <c r="M19" s="30">
        <f>SUMIFS('附表6-收入明细采集底稿'!P:P,'附表6-收入明细采集底稿'!B:B,B19,'附表6-收入明细采集底稿'!D:D,"=-2")</f>
        <v>0</v>
      </c>
      <c r="N19" s="30">
        <f>SUMIFS('附表6-收入明细采集底稿'!P:P,'附表6-收入明细采集底稿'!B:B,B19,'附表6-收入明细采集底稿'!D:D,"&lt;-2")</f>
        <v>0</v>
      </c>
      <c r="O19" s="30">
        <f>SUMIFS('附表6-收入明细采集底稿'!P:P,'附表6-收入明细采集底稿'!B:B,B19,'附表6-收入明细采集底稿'!D:D,"-1",'附表6-收入明细采集底稿'!G:G,数据对照表!$A$12)</f>
        <v>0</v>
      </c>
      <c r="P19" s="30">
        <f>SUMIFS('附表6-收入明细采集底稿'!P:P,'附表6-收入明细采集底稿'!B:B,B19,'附表6-收入明细采集底稿'!D:D,"-2",'附表6-收入明细采集底稿'!G:G,数据对照表!$A$12)</f>
        <v>0</v>
      </c>
      <c r="Q19" s="30">
        <f>SUMIFS('附表6-收入明细采集底稿'!P:P,'附表6-收入明细采集底稿'!B:B,B19,'附表6-收入明细采集底稿'!D:D,"&lt;-2",'附表6-收入明细采集底稿'!G:G,数据对照表!$A$12)</f>
        <v>0</v>
      </c>
      <c r="R19" s="30">
        <f>SUMIFS('附表6-收入明细采集底稿'!P:P,'附表6-收入明细采集底稿'!B:B,B19)</f>
        <v>0</v>
      </c>
      <c r="S19" s="32"/>
      <c r="T19" s="40"/>
      <c r="U19" s="40"/>
    </row>
    <row r="20" s="10" customFormat="1" ht="24" customHeight="1" spans="1:21">
      <c r="A20" s="29"/>
      <c r="B20" s="35"/>
      <c r="C20" s="39"/>
      <c r="D20" s="37"/>
      <c r="E20" s="37"/>
      <c r="F20" s="40"/>
      <c r="G20" s="29"/>
      <c r="H20" s="29"/>
      <c r="I20" s="43">
        <f>IF(_xlfn.MAXIFS('附表6-收入明细采集底稿'!D:D,'附表6-收入明细采集底稿'!B:B,B20)&gt;0,_xlfn.MAXIFS('附表6-收入明细采集底稿'!D:D,'附表6-收入明细采集底稿'!B:B,B20),0)</f>
        <v>0</v>
      </c>
      <c r="J20" s="43">
        <f>IF(_xlfn.MINIFS('附表6-收入明细采集底稿'!D:D,'附表6-收入明细采集底稿'!B:B,B20)&lt;0,ABS(_xlfn.MINIFS('附表6-收入明细采集底稿'!D:D,'附表6-收入明细采集底稿'!B:B,B20)),0)</f>
        <v>0</v>
      </c>
      <c r="K20" s="30">
        <f>SUMIFS('附表6-收入明细采集底稿'!P:P,'附表6-收入明细采集底稿'!B:B,B20,'附表6-收入明细采集底稿'!D:D,"&gt;0")</f>
        <v>0</v>
      </c>
      <c r="L20" s="30">
        <f>SUMIFS('附表6-收入明细采集底稿'!P:P,'附表6-收入明细采集底稿'!B:B,B20,'附表6-收入明细采集底稿'!D:D,"=-1")</f>
        <v>0</v>
      </c>
      <c r="M20" s="30">
        <f>SUMIFS('附表6-收入明细采集底稿'!P:P,'附表6-收入明细采集底稿'!B:B,B20,'附表6-收入明细采集底稿'!D:D,"=-2")</f>
        <v>0</v>
      </c>
      <c r="N20" s="30">
        <f>SUMIFS('附表6-收入明细采集底稿'!P:P,'附表6-收入明细采集底稿'!B:B,B20,'附表6-收入明细采集底稿'!D:D,"&lt;-2")</f>
        <v>0</v>
      </c>
      <c r="O20" s="30">
        <f>SUMIFS('附表6-收入明细采集底稿'!P:P,'附表6-收入明细采集底稿'!B:B,B20,'附表6-收入明细采集底稿'!D:D,"-1",'附表6-收入明细采集底稿'!G:G,数据对照表!$A$12)</f>
        <v>0</v>
      </c>
      <c r="P20" s="30">
        <f>SUMIFS('附表6-收入明细采集底稿'!P:P,'附表6-收入明细采集底稿'!B:B,B20,'附表6-收入明细采集底稿'!D:D,"-2",'附表6-收入明细采集底稿'!G:G,数据对照表!$A$12)</f>
        <v>0</v>
      </c>
      <c r="Q20" s="30">
        <f>SUMIFS('附表6-收入明细采集底稿'!P:P,'附表6-收入明细采集底稿'!B:B,B20,'附表6-收入明细采集底稿'!D:D,"&lt;-2",'附表6-收入明细采集底稿'!G:G,数据对照表!$A$12)</f>
        <v>0</v>
      </c>
      <c r="R20" s="30">
        <f>SUMIFS('附表6-收入明细采集底稿'!P:P,'附表6-收入明细采集底稿'!B:B,B20)</f>
        <v>0</v>
      </c>
      <c r="S20" s="32"/>
      <c r="T20" s="40"/>
      <c r="U20" s="40"/>
    </row>
    <row r="21" s="10" customFormat="1" ht="24" customHeight="1" spans="1:21">
      <c r="A21" s="29"/>
      <c r="B21" s="35"/>
      <c r="C21" s="39"/>
      <c r="D21" s="37"/>
      <c r="E21" s="37"/>
      <c r="F21" s="40"/>
      <c r="G21" s="29"/>
      <c r="H21" s="29"/>
      <c r="I21" s="43">
        <f>IF(_xlfn.MAXIFS('附表6-收入明细采集底稿'!D:D,'附表6-收入明细采集底稿'!B:B,B21)&gt;0,_xlfn.MAXIFS('附表6-收入明细采集底稿'!D:D,'附表6-收入明细采集底稿'!B:B,B21),0)</f>
        <v>0</v>
      </c>
      <c r="J21" s="43">
        <f>IF(_xlfn.MINIFS('附表6-收入明细采集底稿'!D:D,'附表6-收入明细采集底稿'!B:B,B21)&lt;0,ABS(_xlfn.MINIFS('附表6-收入明细采集底稿'!D:D,'附表6-收入明细采集底稿'!B:B,B21)),0)</f>
        <v>0</v>
      </c>
      <c r="K21" s="30">
        <f>SUMIFS('附表6-收入明细采集底稿'!P:P,'附表6-收入明细采集底稿'!B:B,B21,'附表6-收入明细采集底稿'!D:D,"&gt;0")</f>
        <v>0</v>
      </c>
      <c r="L21" s="30">
        <f>SUMIFS('附表6-收入明细采集底稿'!P:P,'附表6-收入明细采集底稿'!B:B,B21,'附表6-收入明细采集底稿'!D:D,"=-1")</f>
        <v>0</v>
      </c>
      <c r="M21" s="30">
        <f>SUMIFS('附表6-收入明细采集底稿'!P:P,'附表6-收入明细采集底稿'!B:B,B21,'附表6-收入明细采集底稿'!D:D,"=-2")</f>
        <v>0</v>
      </c>
      <c r="N21" s="30">
        <f>SUMIFS('附表6-收入明细采集底稿'!P:P,'附表6-收入明细采集底稿'!B:B,B21,'附表6-收入明细采集底稿'!D:D,"&lt;-2")</f>
        <v>0</v>
      </c>
      <c r="O21" s="30">
        <f>SUMIFS('附表6-收入明细采集底稿'!P:P,'附表6-收入明细采集底稿'!B:B,B21,'附表6-收入明细采集底稿'!D:D,"-1",'附表6-收入明细采集底稿'!G:G,数据对照表!$A$12)</f>
        <v>0</v>
      </c>
      <c r="P21" s="30">
        <f>SUMIFS('附表6-收入明细采集底稿'!P:P,'附表6-收入明细采集底稿'!B:B,B21,'附表6-收入明细采集底稿'!D:D,"-2",'附表6-收入明细采集底稿'!G:G,数据对照表!$A$12)</f>
        <v>0</v>
      </c>
      <c r="Q21" s="30">
        <f>SUMIFS('附表6-收入明细采集底稿'!P:P,'附表6-收入明细采集底稿'!B:B,B21,'附表6-收入明细采集底稿'!D:D,"&lt;-2",'附表6-收入明细采集底稿'!G:G,数据对照表!$A$12)</f>
        <v>0</v>
      </c>
      <c r="R21" s="30">
        <f>SUMIFS('附表6-收入明细采集底稿'!P:P,'附表6-收入明细采集底稿'!B:B,B21)</f>
        <v>0</v>
      </c>
      <c r="S21" s="32"/>
      <c r="T21" s="40"/>
      <c r="U21" s="40"/>
    </row>
    <row r="22" s="10" customFormat="1" ht="24" customHeight="1" spans="1:21">
      <c r="A22" s="29"/>
      <c r="B22" s="35"/>
      <c r="C22" s="39"/>
      <c r="D22" s="37"/>
      <c r="E22" s="37"/>
      <c r="F22" s="40"/>
      <c r="G22" s="29"/>
      <c r="H22" s="29"/>
      <c r="I22" s="43">
        <f>IF(_xlfn.MAXIFS('附表6-收入明细采集底稿'!D:D,'附表6-收入明细采集底稿'!B:B,B22)&gt;0,_xlfn.MAXIFS('附表6-收入明细采集底稿'!D:D,'附表6-收入明细采集底稿'!B:B,B22),0)</f>
        <v>0</v>
      </c>
      <c r="J22" s="43">
        <f>IF(_xlfn.MINIFS('附表6-收入明细采集底稿'!D:D,'附表6-收入明细采集底稿'!B:B,B22)&lt;0,ABS(_xlfn.MINIFS('附表6-收入明细采集底稿'!D:D,'附表6-收入明细采集底稿'!B:B,B22)),0)</f>
        <v>0</v>
      </c>
      <c r="K22" s="30">
        <f>SUMIFS('附表6-收入明细采集底稿'!P:P,'附表6-收入明细采集底稿'!B:B,B22,'附表6-收入明细采集底稿'!D:D,"&gt;0")</f>
        <v>0</v>
      </c>
      <c r="L22" s="30">
        <f>SUMIFS('附表6-收入明细采集底稿'!P:P,'附表6-收入明细采集底稿'!B:B,B22,'附表6-收入明细采集底稿'!D:D,"=-1")</f>
        <v>0</v>
      </c>
      <c r="M22" s="30">
        <f>SUMIFS('附表6-收入明细采集底稿'!P:P,'附表6-收入明细采集底稿'!B:B,B22,'附表6-收入明细采集底稿'!D:D,"=-2")</f>
        <v>0</v>
      </c>
      <c r="N22" s="30">
        <f>SUMIFS('附表6-收入明细采集底稿'!P:P,'附表6-收入明细采集底稿'!B:B,B22,'附表6-收入明细采集底稿'!D:D,"&lt;-2")</f>
        <v>0</v>
      </c>
      <c r="O22" s="30">
        <f>SUMIFS('附表6-收入明细采集底稿'!P:P,'附表6-收入明细采集底稿'!B:B,B22,'附表6-收入明细采集底稿'!D:D,"-1",'附表6-收入明细采集底稿'!G:G,数据对照表!$A$12)</f>
        <v>0</v>
      </c>
      <c r="P22" s="30">
        <f>SUMIFS('附表6-收入明细采集底稿'!P:P,'附表6-收入明细采集底稿'!B:B,B22,'附表6-收入明细采集底稿'!D:D,"-2",'附表6-收入明细采集底稿'!G:G,数据对照表!$A$12)</f>
        <v>0</v>
      </c>
      <c r="Q22" s="30">
        <f>SUMIFS('附表6-收入明细采集底稿'!P:P,'附表6-收入明细采集底稿'!B:B,B22,'附表6-收入明细采集底稿'!D:D,"&lt;-2",'附表6-收入明细采集底稿'!G:G,数据对照表!$A$12)</f>
        <v>0</v>
      </c>
      <c r="R22" s="30">
        <f>SUMIFS('附表6-收入明细采集底稿'!P:P,'附表6-收入明细采集底稿'!B:B,B22)</f>
        <v>0</v>
      </c>
      <c r="S22" s="32"/>
      <c r="T22" s="40"/>
      <c r="U22" s="40"/>
    </row>
    <row r="23" s="10" customFormat="1" ht="24" customHeight="1" spans="1:21">
      <c r="A23" s="29"/>
      <c r="B23" s="35"/>
      <c r="C23" s="39"/>
      <c r="D23" s="37"/>
      <c r="E23" s="37"/>
      <c r="F23" s="40"/>
      <c r="G23" s="29"/>
      <c r="H23" s="29"/>
      <c r="I23" s="43">
        <f>IF(_xlfn.MAXIFS('附表6-收入明细采集底稿'!D:D,'附表6-收入明细采集底稿'!B:B,B23)&gt;0,_xlfn.MAXIFS('附表6-收入明细采集底稿'!D:D,'附表6-收入明细采集底稿'!B:B,B23),0)</f>
        <v>0</v>
      </c>
      <c r="J23" s="43">
        <f>IF(_xlfn.MINIFS('附表6-收入明细采集底稿'!D:D,'附表6-收入明细采集底稿'!B:B,B23)&lt;0,ABS(_xlfn.MINIFS('附表6-收入明细采集底稿'!D:D,'附表6-收入明细采集底稿'!B:B,B23)),0)</f>
        <v>0</v>
      </c>
      <c r="K23" s="30">
        <f>SUMIFS('附表6-收入明细采集底稿'!P:P,'附表6-收入明细采集底稿'!B:B,B23,'附表6-收入明细采集底稿'!D:D,"&gt;0")</f>
        <v>0</v>
      </c>
      <c r="L23" s="30">
        <f>SUMIFS('附表6-收入明细采集底稿'!P:P,'附表6-收入明细采集底稿'!B:B,B23,'附表6-收入明细采集底稿'!D:D,"=-1")</f>
        <v>0</v>
      </c>
      <c r="M23" s="30">
        <f>SUMIFS('附表6-收入明细采集底稿'!P:P,'附表6-收入明细采集底稿'!B:B,B23,'附表6-收入明细采集底稿'!D:D,"=-2")</f>
        <v>0</v>
      </c>
      <c r="N23" s="30">
        <f>SUMIFS('附表6-收入明细采集底稿'!P:P,'附表6-收入明细采集底稿'!B:B,B23,'附表6-收入明细采集底稿'!D:D,"&lt;-2")</f>
        <v>0</v>
      </c>
      <c r="O23" s="30">
        <f>SUMIFS('附表6-收入明细采集底稿'!P:P,'附表6-收入明细采集底稿'!B:B,B23,'附表6-收入明细采集底稿'!D:D,"-1",'附表6-收入明细采集底稿'!G:G,数据对照表!$A$12)</f>
        <v>0</v>
      </c>
      <c r="P23" s="30">
        <f>SUMIFS('附表6-收入明细采集底稿'!P:P,'附表6-收入明细采集底稿'!B:B,B23,'附表6-收入明细采集底稿'!D:D,"-2",'附表6-收入明细采集底稿'!G:G,数据对照表!$A$12)</f>
        <v>0</v>
      </c>
      <c r="Q23" s="30">
        <f>SUMIFS('附表6-收入明细采集底稿'!P:P,'附表6-收入明细采集底稿'!B:B,B23,'附表6-收入明细采集底稿'!D:D,"&lt;-2",'附表6-收入明细采集底稿'!G:G,数据对照表!$A$12)</f>
        <v>0</v>
      </c>
      <c r="R23" s="30">
        <f>SUMIFS('附表6-收入明细采集底稿'!P:P,'附表6-收入明细采集底稿'!B:B,B23)</f>
        <v>0</v>
      </c>
      <c r="S23" s="32"/>
      <c r="T23" s="40"/>
      <c r="U23" s="40"/>
    </row>
    <row r="24" s="10" customFormat="1" ht="24" customHeight="1" spans="1:21">
      <c r="A24" s="29"/>
      <c r="B24" s="35"/>
      <c r="C24" s="39"/>
      <c r="D24" s="37"/>
      <c r="E24" s="37"/>
      <c r="F24" s="40"/>
      <c r="G24" s="29"/>
      <c r="H24" s="29"/>
      <c r="I24" s="43">
        <f>IF(_xlfn.MAXIFS('附表6-收入明细采集底稿'!D:D,'附表6-收入明细采集底稿'!B:B,B24)&gt;0,_xlfn.MAXIFS('附表6-收入明细采集底稿'!D:D,'附表6-收入明细采集底稿'!B:B,B24),0)</f>
        <v>0</v>
      </c>
      <c r="J24" s="43">
        <f>IF(_xlfn.MINIFS('附表6-收入明细采集底稿'!D:D,'附表6-收入明细采集底稿'!B:B,B24)&lt;0,ABS(_xlfn.MINIFS('附表6-收入明细采集底稿'!D:D,'附表6-收入明细采集底稿'!B:B,B24)),0)</f>
        <v>0</v>
      </c>
      <c r="K24" s="30">
        <f>SUMIFS('附表6-收入明细采集底稿'!P:P,'附表6-收入明细采集底稿'!B:B,B24,'附表6-收入明细采集底稿'!D:D,"&gt;0")</f>
        <v>0</v>
      </c>
      <c r="L24" s="30">
        <f>SUMIFS('附表6-收入明细采集底稿'!P:P,'附表6-收入明细采集底稿'!B:B,B24,'附表6-收入明细采集底稿'!D:D,"=-1")</f>
        <v>0</v>
      </c>
      <c r="M24" s="30">
        <f>SUMIFS('附表6-收入明细采集底稿'!P:P,'附表6-收入明细采集底稿'!B:B,B24,'附表6-收入明细采集底稿'!D:D,"=-2")</f>
        <v>0</v>
      </c>
      <c r="N24" s="30">
        <f>SUMIFS('附表6-收入明细采集底稿'!P:P,'附表6-收入明细采集底稿'!B:B,B24,'附表6-收入明细采集底稿'!D:D,"&lt;-2")</f>
        <v>0</v>
      </c>
      <c r="O24" s="30">
        <f>SUMIFS('附表6-收入明细采集底稿'!P:P,'附表6-收入明细采集底稿'!B:B,B24,'附表6-收入明细采集底稿'!D:D,"-1",'附表6-收入明细采集底稿'!G:G,数据对照表!$A$12)</f>
        <v>0</v>
      </c>
      <c r="P24" s="30">
        <f>SUMIFS('附表6-收入明细采集底稿'!P:P,'附表6-收入明细采集底稿'!B:B,B24,'附表6-收入明细采集底稿'!D:D,"-2",'附表6-收入明细采集底稿'!G:G,数据对照表!$A$12)</f>
        <v>0</v>
      </c>
      <c r="Q24" s="30">
        <f>SUMIFS('附表6-收入明细采集底稿'!P:P,'附表6-收入明细采集底稿'!B:B,B24,'附表6-收入明细采集底稿'!D:D,"&lt;-2",'附表6-收入明细采集底稿'!G:G,数据对照表!$A$12)</f>
        <v>0</v>
      </c>
      <c r="R24" s="30">
        <f>SUMIFS('附表6-收入明细采集底稿'!P:P,'附表6-收入明细采集底稿'!B:B,B24)</f>
        <v>0</v>
      </c>
      <c r="S24" s="32"/>
      <c r="T24" s="40"/>
      <c r="U24" s="40"/>
    </row>
    <row r="25" s="10" customFormat="1" ht="24" customHeight="1" spans="1:21">
      <c r="A25" s="29"/>
      <c r="B25" s="35"/>
      <c r="C25" s="39"/>
      <c r="D25" s="37"/>
      <c r="E25" s="37"/>
      <c r="F25" s="40"/>
      <c r="G25" s="29"/>
      <c r="H25" s="29"/>
      <c r="I25" s="43">
        <f>IF(_xlfn.MAXIFS('附表6-收入明细采集底稿'!D:D,'附表6-收入明细采集底稿'!B:B,B25)&gt;0,_xlfn.MAXIFS('附表6-收入明细采集底稿'!D:D,'附表6-收入明细采集底稿'!B:B,B25),0)</f>
        <v>0</v>
      </c>
      <c r="J25" s="43">
        <f>IF(_xlfn.MINIFS('附表6-收入明细采集底稿'!D:D,'附表6-收入明细采集底稿'!B:B,B25)&lt;0,ABS(_xlfn.MINIFS('附表6-收入明细采集底稿'!D:D,'附表6-收入明细采集底稿'!B:B,B25)),0)</f>
        <v>0</v>
      </c>
      <c r="K25" s="30">
        <f>SUMIFS('附表6-收入明细采集底稿'!P:P,'附表6-收入明细采集底稿'!B:B,B25,'附表6-收入明细采集底稿'!D:D,"&gt;0")</f>
        <v>0</v>
      </c>
      <c r="L25" s="30">
        <f>SUMIFS('附表6-收入明细采集底稿'!P:P,'附表6-收入明细采集底稿'!B:B,B25,'附表6-收入明细采集底稿'!D:D,"=-1")</f>
        <v>0</v>
      </c>
      <c r="M25" s="30">
        <f>SUMIFS('附表6-收入明细采集底稿'!P:P,'附表6-收入明细采集底稿'!B:B,B25,'附表6-收入明细采集底稿'!D:D,"=-2")</f>
        <v>0</v>
      </c>
      <c r="N25" s="30">
        <f>SUMIFS('附表6-收入明细采集底稿'!P:P,'附表6-收入明细采集底稿'!B:B,B25,'附表6-收入明细采集底稿'!D:D,"&lt;-2")</f>
        <v>0</v>
      </c>
      <c r="O25" s="30">
        <f>SUMIFS('附表6-收入明细采集底稿'!P:P,'附表6-收入明细采集底稿'!B:B,B25,'附表6-收入明细采集底稿'!D:D,"-1",'附表6-收入明细采集底稿'!G:G,数据对照表!$A$12)</f>
        <v>0</v>
      </c>
      <c r="P25" s="30">
        <f>SUMIFS('附表6-收入明细采集底稿'!P:P,'附表6-收入明细采集底稿'!B:B,B25,'附表6-收入明细采集底稿'!D:D,"-2",'附表6-收入明细采集底稿'!G:G,数据对照表!$A$12)</f>
        <v>0</v>
      </c>
      <c r="Q25" s="30">
        <f>SUMIFS('附表6-收入明细采集底稿'!P:P,'附表6-收入明细采集底稿'!B:B,B25,'附表6-收入明细采集底稿'!D:D,"&lt;-2",'附表6-收入明细采集底稿'!G:G,数据对照表!$A$12)</f>
        <v>0</v>
      </c>
      <c r="R25" s="30">
        <f>SUMIFS('附表6-收入明细采集底稿'!P:P,'附表6-收入明细采集底稿'!B:B,B25)</f>
        <v>0</v>
      </c>
      <c r="S25" s="32"/>
      <c r="T25" s="40"/>
      <c r="U25" s="40"/>
    </row>
    <row r="26" s="10" customFormat="1" ht="24" customHeight="1" spans="1:21">
      <c r="A26" s="29"/>
      <c r="B26" s="35"/>
      <c r="C26" s="39"/>
      <c r="D26" s="37"/>
      <c r="E26" s="37"/>
      <c r="F26" s="40"/>
      <c r="G26" s="29"/>
      <c r="H26" s="29"/>
      <c r="I26" s="43">
        <f>IF(_xlfn.MAXIFS('附表6-收入明细采集底稿'!D:D,'附表6-收入明细采集底稿'!B:B,B26)&gt;0,_xlfn.MAXIFS('附表6-收入明细采集底稿'!D:D,'附表6-收入明细采集底稿'!B:B,B26),0)</f>
        <v>0</v>
      </c>
      <c r="J26" s="43">
        <f>IF(_xlfn.MINIFS('附表6-收入明细采集底稿'!D:D,'附表6-收入明细采集底稿'!B:B,B26)&lt;0,ABS(_xlfn.MINIFS('附表6-收入明细采集底稿'!D:D,'附表6-收入明细采集底稿'!B:B,B26)),0)</f>
        <v>0</v>
      </c>
      <c r="K26" s="30">
        <f>SUMIFS('附表6-收入明细采集底稿'!P:P,'附表6-收入明细采集底稿'!B:B,B26,'附表6-收入明细采集底稿'!D:D,"&gt;0")</f>
        <v>0</v>
      </c>
      <c r="L26" s="30">
        <f>SUMIFS('附表6-收入明细采集底稿'!P:P,'附表6-收入明细采集底稿'!B:B,B26,'附表6-收入明细采集底稿'!D:D,"=-1")</f>
        <v>0</v>
      </c>
      <c r="M26" s="30">
        <f>SUMIFS('附表6-收入明细采集底稿'!P:P,'附表6-收入明细采集底稿'!B:B,B26,'附表6-收入明细采集底稿'!D:D,"=-2")</f>
        <v>0</v>
      </c>
      <c r="N26" s="30">
        <f>SUMIFS('附表6-收入明细采集底稿'!P:P,'附表6-收入明细采集底稿'!B:B,B26,'附表6-收入明细采集底稿'!D:D,"&lt;-2")</f>
        <v>0</v>
      </c>
      <c r="O26" s="30">
        <f>SUMIFS('附表6-收入明细采集底稿'!P:P,'附表6-收入明细采集底稿'!B:B,B26,'附表6-收入明细采集底稿'!D:D,"-1",'附表6-收入明细采集底稿'!G:G,数据对照表!$A$12)</f>
        <v>0</v>
      </c>
      <c r="P26" s="30">
        <f>SUMIFS('附表6-收入明细采集底稿'!P:P,'附表6-收入明细采集底稿'!B:B,B26,'附表6-收入明细采集底稿'!D:D,"-2",'附表6-收入明细采集底稿'!G:G,数据对照表!$A$12)</f>
        <v>0</v>
      </c>
      <c r="Q26" s="30">
        <f>SUMIFS('附表6-收入明细采集底稿'!P:P,'附表6-收入明细采集底稿'!B:B,B26,'附表6-收入明细采集底稿'!D:D,"&lt;-2",'附表6-收入明细采集底稿'!G:G,数据对照表!$A$12)</f>
        <v>0</v>
      </c>
      <c r="R26" s="30">
        <f>SUMIFS('附表6-收入明细采集底稿'!P:P,'附表6-收入明细采集底稿'!B:B,B26)</f>
        <v>0</v>
      </c>
      <c r="S26" s="32"/>
      <c r="T26" s="40"/>
      <c r="U26" s="40"/>
    </row>
  </sheetData>
  <mergeCells count="43">
    <mergeCell ref="A1:U1"/>
    <mergeCell ref="A2:U2"/>
    <mergeCell ref="A3:U3"/>
    <mergeCell ref="A12:U12"/>
    <mergeCell ref="L13:N13"/>
    <mergeCell ref="O13:Q13"/>
    <mergeCell ref="A4:A7"/>
    <mergeCell ref="A8:A11"/>
    <mergeCell ref="A13:A15"/>
    <mergeCell ref="B4:B7"/>
    <mergeCell ref="B13:B14"/>
    <mergeCell ref="C4:C6"/>
    <mergeCell ref="C13:C14"/>
    <mergeCell ref="D4:D6"/>
    <mergeCell ref="D13:D14"/>
    <mergeCell ref="E4:E6"/>
    <mergeCell ref="E13:E14"/>
    <mergeCell ref="F4:F6"/>
    <mergeCell ref="F13:F14"/>
    <mergeCell ref="G4:G6"/>
    <mergeCell ref="G13:G14"/>
    <mergeCell ref="H4:H6"/>
    <mergeCell ref="H13:H14"/>
    <mergeCell ref="I4:I6"/>
    <mergeCell ref="I13:I14"/>
    <mergeCell ref="J4:J6"/>
    <mergeCell ref="J13:J14"/>
    <mergeCell ref="K4:K6"/>
    <mergeCell ref="K13:K14"/>
    <mergeCell ref="L4:L6"/>
    <mergeCell ref="M4:M6"/>
    <mergeCell ref="N4:N6"/>
    <mergeCell ref="O4:O6"/>
    <mergeCell ref="P4:P6"/>
    <mergeCell ref="Q4:Q6"/>
    <mergeCell ref="R4:R6"/>
    <mergeCell ref="R13:R14"/>
    <mergeCell ref="S4:S6"/>
    <mergeCell ref="S13:S14"/>
    <mergeCell ref="T4:T6"/>
    <mergeCell ref="T13:T14"/>
    <mergeCell ref="U4:U6"/>
    <mergeCell ref="U13:U14"/>
  </mergeCells>
  <dataValidations count="7">
    <dataValidation type="list" allowBlank="1" showInputMessage="1" showErrorMessage="1" sqref="C16:C26">
      <formula1>OFFSET(数据对照表!$V$2,,,COUNTA(数据对照表!$V:$V)-1,1)</formula1>
    </dataValidation>
    <dataValidation type="list" allowBlank="1" showInputMessage="1" showErrorMessage="1" sqref="H16:H26">
      <formula1>OFFSET(数据对照表!$AA$2,,,COUNTA(数据对照表!$AA:$AA)-1,1)</formula1>
    </dataValidation>
    <dataValidation type="list" allowBlank="1" showInputMessage="1" showErrorMessage="1" sqref="D16:D26">
      <formula1>OFFSET(数据对照表!$W$2,,,COUNTA(数据对照表!$W:$W)-1,1)</formula1>
    </dataValidation>
    <dataValidation type="list" allowBlank="1" showInputMessage="1" showErrorMessage="1" sqref="E16:E26">
      <formula1>OFFSET(数据对照表!$X$2,,,COUNTA(数据对照表!$X:$X)-1,1)</formula1>
    </dataValidation>
    <dataValidation type="list" allowBlank="1" showInputMessage="1" showErrorMessage="1" sqref="F16:F26">
      <formula1>OFFSET(数据对照表!$Y$2,,,COUNTA(数据对照表!$Y:$Y)-1,1)</formula1>
    </dataValidation>
    <dataValidation type="list" allowBlank="1" showInputMessage="1" showErrorMessage="1" sqref="G16:G26">
      <formula1>OFFSET(数据对照表!$Z$2,,,COUNTA(数据对照表!$Z:$Z)-1,1)</formula1>
    </dataValidation>
    <dataValidation allowBlank="1" showInputMessage="1" showErrorMessage="1" sqref="T16:U26"/>
  </dataValidations>
  <pageMargins left="0.747916666666667" right="0.747916666666667" top="0.984027777777778" bottom="0.984027777777778" header="0.511805555555556" footer="0.511805555555556"/>
  <pageSetup paperSize="9" scale="96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23"/>
  <sheetViews>
    <sheetView zoomScale="115" zoomScaleNormal="115" topLeftCell="R1" workbookViewId="0">
      <selection activeCell="U8" sqref="U8"/>
    </sheetView>
  </sheetViews>
  <sheetFormatPr defaultColWidth="15.625" defaultRowHeight="12"/>
  <cols>
    <col min="1" max="1" width="15" style="1" customWidth="1"/>
    <col min="2" max="2" width="29.375" style="1" customWidth="1"/>
    <col min="3" max="3" width="22.625" style="1" customWidth="1"/>
    <col min="4" max="4" width="15.625" style="1" customWidth="1"/>
    <col min="5" max="6" width="15.625" style="1"/>
    <col min="7" max="7" width="19.125" style="1" customWidth="1"/>
    <col min="8" max="24" width="15.625" style="1"/>
    <col min="25" max="27" width="15.625" style="2"/>
    <col min="28" max="28" width="13.75" style="1" customWidth="1"/>
    <col min="29" max="29" width="23.25" style="1" customWidth="1"/>
    <col min="30" max="16384" width="15.625" style="1"/>
  </cols>
  <sheetData>
    <row r="1" ht="24.95" customHeight="1" spans="1:29">
      <c r="A1" s="3" t="s">
        <v>159</v>
      </c>
      <c r="B1" s="3" t="s">
        <v>398</v>
      </c>
      <c r="C1" s="3" t="s">
        <v>399</v>
      </c>
      <c r="D1" s="3" t="s">
        <v>400</v>
      </c>
      <c r="E1" s="3" t="s">
        <v>401</v>
      </c>
      <c r="F1" s="3" t="s">
        <v>402</v>
      </c>
      <c r="G1" s="3" t="s">
        <v>403</v>
      </c>
      <c r="H1" s="3" t="s">
        <v>404</v>
      </c>
      <c r="I1" s="3" t="s">
        <v>405</v>
      </c>
      <c r="J1" s="3" t="s">
        <v>406</v>
      </c>
      <c r="K1" s="3" t="s">
        <v>274</v>
      </c>
      <c r="L1" s="3" t="s">
        <v>275</v>
      </c>
      <c r="M1" s="3" t="s">
        <v>398</v>
      </c>
      <c r="N1" s="3" t="s">
        <v>399</v>
      </c>
      <c r="O1" s="3" t="s">
        <v>400</v>
      </c>
      <c r="P1" s="3" t="s">
        <v>401</v>
      </c>
      <c r="Q1" s="3" t="s">
        <v>402</v>
      </c>
      <c r="R1" s="3" t="s">
        <v>403</v>
      </c>
      <c r="S1" s="3" t="s">
        <v>404</v>
      </c>
      <c r="T1" s="3" t="s">
        <v>405</v>
      </c>
      <c r="U1" s="3" t="s">
        <v>327</v>
      </c>
      <c r="V1" s="3" t="s">
        <v>380</v>
      </c>
      <c r="W1" s="3" t="s">
        <v>381</v>
      </c>
      <c r="X1" s="3" t="s">
        <v>382</v>
      </c>
      <c r="Y1" s="3" t="s">
        <v>383</v>
      </c>
      <c r="Z1" s="3" t="s">
        <v>384</v>
      </c>
      <c r="AA1" s="3" t="s">
        <v>385</v>
      </c>
      <c r="AB1" s="3" t="s">
        <v>87</v>
      </c>
      <c r="AC1" s="3" t="s">
        <v>407</v>
      </c>
    </row>
    <row r="2" ht="24.95" customHeight="1" spans="1:29">
      <c r="A2" s="4" t="s">
        <v>100</v>
      </c>
      <c r="B2" s="4" t="s">
        <v>408</v>
      </c>
      <c r="C2" s="5" t="s">
        <v>409</v>
      </c>
      <c r="D2" s="5" t="s">
        <v>410</v>
      </c>
      <c r="E2" s="5" t="s">
        <v>411</v>
      </c>
      <c r="F2" s="5" t="s">
        <v>412</v>
      </c>
      <c r="G2" s="5" t="s">
        <v>413</v>
      </c>
      <c r="H2" s="5" t="s">
        <v>414</v>
      </c>
      <c r="I2" s="6" t="s">
        <v>415</v>
      </c>
      <c r="J2" s="6" t="s">
        <v>416</v>
      </c>
      <c r="K2" s="6" t="s">
        <v>417</v>
      </c>
      <c r="L2" s="6" t="s">
        <v>418</v>
      </c>
      <c r="M2" s="6" t="s">
        <v>350</v>
      </c>
      <c r="N2" s="6" t="s">
        <v>350</v>
      </c>
      <c r="O2" s="6" t="s">
        <v>350</v>
      </c>
      <c r="P2" s="6" t="s">
        <v>350</v>
      </c>
      <c r="Q2" s="6" t="s">
        <v>350</v>
      </c>
      <c r="R2" s="6" t="s">
        <v>350</v>
      </c>
      <c r="S2" s="6" t="s">
        <v>350</v>
      </c>
      <c r="T2" s="6" t="s">
        <v>417</v>
      </c>
      <c r="U2" s="6" t="s">
        <v>419</v>
      </c>
      <c r="V2" s="7" t="s">
        <v>420</v>
      </c>
      <c r="W2" s="5" t="s">
        <v>421</v>
      </c>
      <c r="X2" s="5" t="s">
        <v>422</v>
      </c>
      <c r="Y2" s="5" t="s">
        <v>423</v>
      </c>
      <c r="Z2" s="5" t="s">
        <v>424</v>
      </c>
      <c r="AA2" s="5" t="s">
        <v>425</v>
      </c>
      <c r="AB2" s="8" t="s">
        <v>210</v>
      </c>
      <c r="AC2" s="8" t="s">
        <v>210</v>
      </c>
    </row>
    <row r="3" ht="24.95" customHeight="1" spans="1:29">
      <c r="A3" s="4" t="s">
        <v>101</v>
      </c>
      <c r="B3" s="4" t="s">
        <v>426</v>
      </c>
      <c r="C3" s="5" t="s">
        <v>427</v>
      </c>
      <c r="D3" s="5" t="s">
        <v>428</v>
      </c>
      <c r="E3" s="5" t="s">
        <v>429</v>
      </c>
      <c r="F3" s="5" t="s">
        <v>430</v>
      </c>
      <c r="G3" s="5" t="s">
        <v>431</v>
      </c>
      <c r="H3" s="5" t="s">
        <v>432</v>
      </c>
      <c r="J3" s="6" t="s">
        <v>433</v>
      </c>
      <c r="L3" s="6" t="s">
        <v>434</v>
      </c>
      <c r="M3" s="6" t="s">
        <v>435</v>
      </c>
      <c r="N3" s="6" t="s">
        <v>435</v>
      </c>
      <c r="O3" s="6" t="s">
        <v>435</v>
      </c>
      <c r="P3" s="6" t="s">
        <v>435</v>
      </c>
      <c r="Q3" s="6" t="s">
        <v>435</v>
      </c>
      <c r="R3" s="6" t="s">
        <v>435</v>
      </c>
      <c r="S3" s="6" t="s">
        <v>435</v>
      </c>
      <c r="U3" s="6" t="s">
        <v>436</v>
      </c>
      <c r="V3" s="7" t="s">
        <v>437</v>
      </c>
      <c r="W3" s="5" t="s">
        <v>438</v>
      </c>
      <c r="X3" s="5" t="s">
        <v>439</v>
      </c>
      <c r="Y3" s="5" t="s">
        <v>440</v>
      </c>
      <c r="Z3" s="5" t="s">
        <v>441</v>
      </c>
      <c r="AA3" s="5" t="s">
        <v>442</v>
      </c>
      <c r="AB3" s="8" t="s">
        <v>443</v>
      </c>
      <c r="AC3" s="8" t="s">
        <v>444</v>
      </c>
    </row>
    <row r="4" ht="24.95" customHeight="1" spans="1:29">
      <c r="A4" s="4" t="s">
        <v>64</v>
      </c>
      <c r="B4" s="4" t="s">
        <v>445</v>
      </c>
      <c r="C4" s="5" t="s">
        <v>446</v>
      </c>
      <c r="D4" s="5" t="s">
        <v>447</v>
      </c>
      <c r="E4" s="5" t="s">
        <v>448</v>
      </c>
      <c r="F4" s="5" t="s">
        <v>449</v>
      </c>
      <c r="G4" s="5" t="s">
        <v>450</v>
      </c>
      <c r="H4" s="5" t="s">
        <v>451</v>
      </c>
      <c r="J4" s="6" t="s">
        <v>452</v>
      </c>
      <c r="L4" s="6" t="s">
        <v>210</v>
      </c>
      <c r="U4" s="6" t="s">
        <v>453</v>
      </c>
      <c r="V4" s="7" t="s">
        <v>454</v>
      </c>
      <c r="W4" s="8" t="s">
        <v>455</v>
      </c>
      <c r="X4" s="5" t="s">
        <v>456</v>
      </c>
      <c r="Y4" s="5" t="s">
        <v>457</v>
      </c>
      <c r="Z4" s="5" t="s">
        <v>458</v>
      </c>
      <c r="AA4" s="5" t="s">
        <v>459</v>
      </c>
      <c r="AC4" s="8" t="s">
        <v>443</v>
      </c>
    </row>
    <row r="5" ht="24.95" customHeight="1" spans="1:27">
      <c r="A5" s="4" t="s">
        <v>65</v>
      </c>
      <c r="C5" s="5" t="s">
        <v>460</v>
      </c>
      <c r="D5" s="5" t="s">
        <v>461</v>
      </c>
      <c r="E5" s="5" t="s">
        <v>462</v>
      </c>
      <c r="F5" s="5" t="s">
        <v>463</v>
      </c>
      <c r="G5" s="5" t="s">
        <v>464</v>
      </c>
      <c r="H5" s="5" t="s">
        <v>465</v>
      </c>
      <c r="J5" s="6" t="s">
        <v>466</v>
      </c>
      <c r="L5" s="6" t="s">
        <v>467</v>
      </c>
      <c r="U5" s="6" t="s">
        <v>468</v>
      </c>
      <c r="V5" s="7" t="s">
        <v>469</v>
      </c>
      <c r="W5" s="5" t="s">
        <v>470</v>
      </c>
      <c r="X5" s="8" t="s">
        <v>471</v>
      </c>
      <c r="Y5" s="5" t="s">
        <v>472</v>
      </c>
      <c r="Z5" s="1"/>
      <c r="AA5" s="5" t="s">
        <v>473</v>
      </c>
    </row>
    <row r="6" ht="24.95" customHeight="1" spans="1:27">
      <c r="A6" s="4" t="s">
        <v>66</v>
      </c>
      <c r="C6" s="5" t="s">
        <v>474</v>
      </c>
      <c r="D6" s="5" t="s">
        <v>475</v>
      </c>
      <c r="E6" s="5" t="s">
        <v>476</v>
      </c>
      <c r="F6" s="5" t="s">
        <v>477</v>
      </c>
      <c r="G6" s="5" t="s">
        <v>478</v>
      </c>
      <c r="H6" s="5" t="s">
        <v>479</v>
      </c>
      <c r="J6" s="6" t="s">
        <v>480</v>
      </c>
      <c r="L6" s="6" t="s">
        <v>481</v>
      </c>
      <c r="U6" s="6" t="s">
        <v>482</v>
      </c>
      <c r="V6" s="7" t="s">
        <v>483</v>
      </c>
      <c r="W6" s="5" t="s">
        <v>484</v>
      </c>
      <c r="Y6" s="8" t="s">
        <v>485</v>
      </c>
      <c r="Z6" s="1"/>
      <c r="AA6" s="9"/>
    </row>
    <row r="7" ht="24.95" customHeight="1" spans="1:27">
      <c r="A7" s="4" t="s">
        <v>486</v>
      </c>
      <c r="C7" s="5" t="s">
        <v>487</v>
      </c>
      <c r="D7" s="5" t="s">
        <v>488</v>
      </c>
      <c r="E7" s="5" t="s">
        <v>489</v>
      </c>
      <c r="F7" s="5" t="s">
        <v>490</v>
      </c>
      <c r="G7" s="5" t="s">
        <v>491</v>
      </c>
      <c r="H7" s="5" t="s">
        <v>492</v>
      </c>
      <c r="J7" s="6" t="s">
        <v>493</v>
      </c>
      <c r="L7" s="6" t="s">
        <v>443</v>
      </c>
      <c r="U7" s="6" t="s">
        <v>494</v>
      </c>
      <c r="V7" s="7" t="s">
        <v>495</v>
      </c>
      <c r="W7" s="8" t="s">
        <v>496</v>
      </c>
      <c r="Y7" s="1"/>
      <c r="Z7" s="1"/>
      <c r="AA7" s="9"/>
    </row>
    <row r="8" ht="24.95" customHeight="1" spans="1:27">
      <c r="A8" s="4" t="s">
        <v>497</v>
      </c>
      <c r="D8" s="5" t="s">
        <v>498</v>
      </c>
      <c r="F8" s="5" t="s">
        <v>499</v>
      </c>
      <c r="G8" s="5" t="s">
        <v>500</v>
      </c>
      <c r="H8" s="5" t="s">
        <v>501</v>
      </c>
      <c r="J8" s="6" t="s">
        <v>502</v>
      </c>
      <c r="U8" s="6" t="s">
        <v>503</v>
      </c>
      <c r="V8" s="7" t="s">
        <v>504</v>
      </c>
      <c r="W8" s="8" t="s">
        <v>67</v>
      </c>
      <c r="Y8" s="1"/>
      <c r="Z8" s="1"/>
      <c r="AA8" s="1"/>
    </row>
    <row r="9" ht="24.95" customHeight="1" spans="1:27">
      <c r="A9" s="4" t="s">
        <v>505</v>
      </c>
      <c r="D9" s="5" t="s">
        <v>506</v>
      </c>
      <c r="F9" s="5" t="s">
        <v>507</v>
      </c>
      <c r="G9" s="5" t="s">
        <v>508</v>
      </c>
      <c r="H9" s="5" t="s">
        <v>509</v>
      </c>
      <c r="U9" s="6" t="s">
        <v>510</v>
      </c>
      <c r="Y9" s="1"/>
      <c r="Z9" s="1"/>
      <c r="AA9" s="1"/>
    </row>
    <row r="10" ht="24.95" customHeight="1" spans="1:27">
      <c r="A10" s="4" t="s">
        <v>511</v>
      </c>
      <c r="D10" s="5" t="s">
        <v>512</v>
      </c>
      <c r="F10" s="5" t="s">
        <v>513</v>
      </c>
      <c r="G10" s="5" t="s">
        <v>514</v>
      </c>
      <c r="H10" s="5" t="s">
        <v>515</v>
      </c>
      <c r="U10" s="6" t="s">
        <v>516</v>
      </c>
      <c r="Y10" s="1"/>
      <c r="Z10" s="1"/>
      <c r="AA10" s="1"/>
    </row>
    <row r="11" ht="24.95" customHeight="1" spans="1:27">
      <c r="A11" s="4" t="s">
        <v>517</v>
      </c>
      <c r="F11" s="5" t="s">
        <v>518</v>
      </c>
      <c r="G11" s="5" t="s">
        <v>519</v>
      </c>
      <c r="U11" s="6" t="s">
        <v>520</v>
      </c>
      <c r="Y11" s="1"/>
      <c r="Z11" s="1"/>
      <c r="AA11" s="1"/>
    </row>
    <row r="12" ht="24.95" customHeight="1" spans="1:27">
      <c r="A12" s="4" t="s">
        <v>521</v>
      </c>
      <c r="F12" s="5" t="s">
        <v>522</v>
      </c>
      <c r="G12" s="5" t="s">
        <v>523</v>
      </c>
      <c r="U12" s="6" t="s">
        <v>524</v>
      </c>
      <c r="Y12" s="1"/>
      <c r="Z12" s="1"/>
      <c r="AA12" s="1"/>
    </row>
    <row r="13" ht="24.95" customHeight="1" spans="1:27">
      <c r="A13" s="4" t="s">
        <v>525</v>
      </c>
      <c r="G13" s="5" t="s">
        <v>526</v>
      </c>
      <c r="U13" s="6" t="s">
        <v>527</v>
      </c>
      <c r="Y13" s="1"/>
      <c r="Z13" s="1"/>
      <c r="AA13" s="1"/>
    </row>
    <row r="14" ht="24.95" customHeight="1" spans="1:27">
      <c r="A14" s="4" t="s">
        <v>528</v>
      </c>
      <c r="G14" s="5" t="s">
        <v>529</v>
      </c>
      <c r="U14" s="6" t="s">
        <v>530</v>
      </c>
      <c r="Y14" s="1"/>
      <c r="Z14" s="1"/>
      <c r="AA14" s="1"/>
    </row>
    <row r="15" ht="24.95" customHeight="1" spans="1:27">
      <c r="A15" s="4" t="s">
        <v>531</v>
      </c>
      <c r="G15" s="5" t="s">
        <v>532</v>
      </c>
      <c r="Y15" s="1"/>
      <c r="Z15" s="1"/>
      <c r="AA15" s="1"/>
    </row>
    <row r="16" ht="24.95" customHeight="1" spans="1:27">
      <c r="A16" s="4" t="s">
        <v>533</v>
      </c>
      <c r="G16" s="5" t="s">
        <v>534</v>
      </c>
      <c r="Y16" s="1"/>
      <c r="Z16" s="1"/>
      <c r="AA16" s="1"/>
    </row>
    <row r="17" ht="24.95" customHeight="1" spans="1:27">
      <c r="A17" s="4" t="s">
        <v>535</v>
      </c>
      <c r="G17" s="5" t="s">
        <v>536</v>
      </c>
      <c r="Y17" s="1"/>
      <c r="Z17" s="1"/>
      <c r="AA17" s="1"/>
    </row>
    <row r="18" ht="24.95" customHeight="1" spans="1:27">
      <c r="A18" s="4" t="s">
        <v>537</v>
      </c>
      <c r="Y18" s="1"/>
      <c r="Z18" s="1"/>
      <c r="AA18" s="1"/>
    </row>
    <row r="19" ht="24.95" customHeight="1" spans="1:27">
      <c r="A19" s="4" t="s">
        <v>538</v>
      </c>
      <c r="Y19" s="1"/>
      <c r="Z19" s="1"/>
      <c r="AA19" s="1"/>
    </row>
    <row r="20" ht="24.95" customHeight="1" spans="1:27">
      <c r="A20" s="4" t="s">
        <v>539</v>
      </c>
      <c r="Y20" s="1"/>
      <c r="Z20" s="1"/>
      <c r="AA20" s="1"/>
    </row>
    <row r="21" ht="24.95" customHeight="1" spans="1:27">
      <c r="A21" s="4" t="s">
        <v>540</v>
      </c>
      <c r="Y21" s="1"/>
      <c r="Z21" s="1"/>
      <c r="AA21" s="1"/>
    </row>
    <row r="22" ht="24.95" customHeight="1" spans="1:27">
      <c r="A22" s="4" t="s">
        <v>541</v>
      </c>
      <c r="Y22" s="1"/>
      <c r="Z22" s="1"/>
      <c r="AA22" s="1"/>
    </row>
    <row r="23" ht="24.95" customHeight="1" spans="1:27">
      <c r="A23" s="4" t="s">
        <v>542</v>
      </c>
      <c r="Y23" s="1"/>
      <c r="Z23" s="1"/>
      <c r="AA23" s="1"/>
    </row>
  </sheetData>
  <dataValidations count="1">
    <dataValidation type="list" allowBlank="1" showInputMessage="1" showErrorMessage="1" sqref="I2">
      <formula1>"利息支出"</formula1>
    </dataValidation>
  </dataValidation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8"/>
  <sheetViews>
    <sheetView zoomScale="70" zoomScaleNormal="70" workbookViewId="0">
      <selection activeCell="Q9" sqref="Q9"/>
    </sheetView>
  </sheetViews>
  <sheetFormatPr defaultColWidth="8.875" defaultRowHeight="14.25"/>
  <cols>
    <col min="1" max="1" width="37.5" style="270" customWidth="1"/>
    <col min="2" max="2" width="20.875" style="270" customWidth="1"/>
    <col min="3" max="3" width="22.5" style="161" customWidth="1"/>
    <col min="4" max="5" width="15.5" style="161" customWidth="1"/>
    <col min="6" max="6" width="19.125" style="161" customWidth="1"/>
    <col min="7" max="8" width="15.5" style="161" customWidth="1"/>
    <col min="9" max="9" width="22.125" style="161" customWidth="1"/>
    <col min="10" max="10" width="15.5" style="161" customWidth="1"/>
    <col min="11" max="11" width="14" style="161"/>
    <col min="12" max="12" width="8.625" style="161"/>
  </cols>
  <sheetData>
    <row r="1" s="161" customFormat="1" ht="27.75" spans="1:12">
      <c r="A1" s="271" t="s">
        <v>79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</row>
    <row r="2" ht="34.5" customHeight="1" spans="1:12">
      <c r="A2" s="272" t="s">
        <v>80</v>
      </c>
      <c r="B2" s="272" t="s">
        <v>81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</row>
    <row r="3" ht="34.5" customHeight="1" spans="1:12">
      <c r="A3" s="272" t="s">
        <v>82</v>
      </c>
      <c r="B3" s="272" t="str">
        <f>IF(清算项目基本情况表!C3="","",清算项目基本情况表!C3)</f>
        <v/>
      </c>
      <c r="C3" s="272"/>
      <c r="D3" s="272"/>
      <c r="E3" s="272"/>
      <c r="F3" s="272"/>
      <c r="G3" s="272"/>
      <c r="H3" s="272"/>
      <c r="I3" s="272"/>
      <c r="J3" s="272"/>
      <c r="K3" s="272"/>
      <c r="L3" s="272"/>
    </row>
    <row r="4" ht="34.5" customHeight="1" spans="1:12">
      <c r="A4" s="273" t="s">
        <v>83</v>
      </c>
      <c r="B4" s="274" t="str">
        <f>IF(清算项目基本情况表!I3="","",清算项目基本情况表!I3)</f>
        <v/>
      </c>
      <c r="C4" s="274"/>
      <c r="D4" s="274"/>
      <c r="E4" s="274"/>
      <c r="F4" s="274"/>
      <c r="G4" s="274" t="s">
        <v>5</v>
      </c>
      <c r="H4" s="274"/>
      <c r="I4" s="274"/>
      <c r="J4" s="274"/>
      <c r="K4" s="274" t="s">
        <v>6</v>
      </c>
      <c r="L4" s="274"/>
    </row>
    <row r="5" s="268" customFormat="1" ht="34.5" customHeight="1" spans="1:12">
      <c r="A5" s="275" t="s">
        <v>26</v>
      </c>
      <c r="B5" s="276" t="str">
        <f>IF(清算项目基本情况表!D6="","",清算项目基本情况表!D6)</f>
        <v/>
      </c>
      <c r="C5" s="276"/>
      <c r="D5" s="276"/>
      <c r="E5" s="276"/>
      <c r="F5" s="277" t="s">
        <v>84</v>
      </c>
      <c r="G5" s="277"/>
      <c r="H5" s="278" t="str">
        <f>IF(清算项目基本情况表!S6="","",清算项目基本情况表!S6)</f>
        <v/>
      </c>
      <c r="I5" s="293"/>
      <c r="J5" s="293"/>
      <c r="K5" s="293"/>
      <c r="L5" s="294"/>
    </row>
    <row r="6" s="268" customFormat="1" ht="34.5" customHeight="1" spans="1:12">
      <c r="A6" s="275" t="s">
        <v>85</v>
      </c>
      <c r="B6" s="276">
        <f>清算项目基本情况表!D7</f>
        <v>0</v>
      </c>
      <c r="C6" s="276"/>
      <c r="D6" s="276"/>
      <c r="E6" s="276"/>
      <c r="F6" s="279" t="s">
        <v>86</v>
      </c>
      <c r="G6" s="279"/>
      <c r="H6" s="276" t="s">
        <v>87</v>
      </c>
      <c r="I6" s="276"/>
      <c r="J6" s="276"/>
      <c r="K6" s="276"/>
      <c r="L6" s="276"/>
    </row>
    <row r="7" s="268" customFormat="1" ht="34.5" customHeight="1" spans="1:12">
      <c r="A7" s="275" t="s">
        <v>88</v>
      </c>
      <c r="B7" s="280">
        <f>'附表1-面积统计表'!F29</f>
        <v>0</v>
      </c>
      <c r="C7" s="276"/>
      <c r="D7" s="276"/>
      <c r="E7" s="276"/>
      <c r="F7" s="280" t="s">
        <v>89</v>
      </c>
      <c r="G7" s="281">
        <f>'附表1-面积统计表'!I29+'附表1-面积统计表'!J29</f>
        <v>0</v>
      </c>
      <c r="H7" s="279"/>
      <c r="I7" s="279"/>
      <c r="J7" s="279"/>
      <c r="K7" s="279"/>
      <c r="L7" s="295"/>
    </row>
    <row r="8" s="268" customFormat="1" ht="37.5" spans="1:12">
      <c r="A8" s="275" t="s">
        <v>90</v>
      </c>
      <c r="B8" s="282">
        <f>'附表1-面积统计表'!G29</f>
        <v>0</v>
      </c>
      <c r="C8" s="280" t="s">
        <v>91</v>
      </c>
      <c r="D8" s="280">
        <f>'附表1-面积统计表'!G5</f>
        <v>0</v>
      </c>
      <c r="E8" s="280"/>
      <c r="F8" s="283" t="s">
        <v>92</v>
      </c>
      <c r="G8" s="280">
        <f>'附表1-面积统计表'!G6</f>
        <v>0</v>
      </c>
      <c r="H8" s="280"/>
      <c r="I8" s="296" t="s">
        <v>93</v>
      </c>
      <c r="J8" s="297">
        <f>'附表1-面积统计表'!G7</f>
        <v>0</v>
      </c>
      <c r="K8" s="298"/>
      <c r="L8" s="299"/>
    </row>
    <row r="9" s="268" customFormat="1" ht="37.5" spans="1:12">
      <c r="A9" s="275" t="s">
        <v>94</v>
      </c>
      <c r="B9" s="282">
        <f>'附表1-面积统计表'!H29</f>
        <v>0</v>
      </c>
      <c r="C9" s="280" t="s">
        <v>95</v>
      </c>
      <c r="D9" s="280">
        <f>'附表1-面积统计表'!H5</f>
        <v>0</v>
      </c>
      <c r="E9" s="280"/>
      <c r="F9" s="283" t="s">
        <v>96</v>
      </c>
      <c r="G9" s="280">
        <f>'附表1-面积统计表'!H6</f>
        <v>0</v>
      </c>
      <c r="H9" s="280"/>
      <c r="I9" s="296" t="s">
        <v>97</v>
      </c>
      <c r="J9" s="297">
        <f>'附表1-面积统计表'!H7</f>
        <v>0</v>
      </c>
      <c r="K9" s="298"/>
      <c r="L9" s="299"/>
    </row>
    <row r="10" s="268" customFormat="1" ht="34.5" customHeight="1" spans="1:12">
      <c r="A10" s="284" t="s">
        <v>98</v>
      </c>
      <c r="B10" s="285"/>
      <c r="C10" s="286" t="s">
        <v>99</v>
      </c>
      <c r="D10" s="286" t="s">
        <v>100</v>
      </c>
      <c r="E10" s="286"/>
      <c r="F10" s="286" t="s">
        <v>101</v>
      </c>
      <c r="G10" s="286"/>
      <c r="H10" s="286" t="s">
        <v>102</v>
      </c>
      <c r="I10" s="286"/>
      <c r="J10" s="286" t="s">
        <v>103</v>
      </c>
      <c r="K10" s="286"/>
      <c r="L10" s="286"/>
    </row>
    <row r="11" ht="34.5" customHeight="1" spans="1:12">
      <c r="A11" s="287" t="s">
        <v>104</v>
      </c>
      <c r="B11" s="287"/>
      <c r="C11" s="288" t="s">
        <v>105</v>
      </c>
      <c r="D11" s="289">
        <f t="shared" ref="D11:H11" si="0">SUM(D12:D14)</f>
        <v>0</v>
      </c>
      <c r="E11" s="289"/>
      <c r="F11" s="289">
        <f t="shared" si="0"/>
        <v>0</v>
      </c>
      <c r="G11" s="289"/>
      <c r="H11" s="289">
        <f t="shared" si="0"/>
        <v>0</v>
      </c>
      <c r="I11" s="289"/>
      <c r="J11" s="289">
        <f t="shared" ref="J11:J35" si="1">SUM(D11:I11)</f>
        <v>0</v>
      </c>
      <c r="K11" s="289"/>
      <c r="L11" s="289"/>
    </row>
    <row r="12" ht="34.5" customHeight="1" spans="1:12">
      <c r="A12" s="287" t="s">
        <v>106</v>
      </c>
      <c r="B12" s="287"/>
      <c r="C12" s="288">
        <v>2</v>
      </c>
      <c r="D12" s="289">
        <f>'附表2-收入统计表'!C5</f>
        <v>0</v>
      </c>
      <c r="E12" s="289"/>
      <c r="F12" s="289">
        <f>IF($H$6="三分法",'附表2-收入统计表'!C6,"")</f>
        <v>0</v>
      </c>
      <c r="G12" s="289"/>
      <c r="H12" s="289">
        <f>IF($H$6="三分法",'附表2-收入统计表'!C7,SUM('附表2-收入统计表'!C6:C7))</f>
        <v>0</v>
      </c>
      <c r="I12" s="289"/>
      <c r="J12" s="289">
        <f t="shared" si="1"/>
        <v>0</v>
      </c>
      <c r="K12" s="289"/>
      <c r="L12" s="289"/>
    </row>
    <row r="13" ht="34.5" customHeight="1" spans="1:12">
      <c r="A13" s="287" t="s">
        <v>107</v>
      </c>
      <c r="B13" s="287"/>
      <c r="C13" s="288">
        <v>3</v>
      </c>
      <c r="D13" s="289">
        <f>'附表2-收入统计表'!D5</f>
        <v>0</v>
      </c>
      <c r="E13" s="289"/>
      <c r="F13" s="289">
        <f>IF($H$6="三分法",'附表2-收入统计表'!D6,"")</f>
        <v>0</v>
      </c>
      <c r="G13" s="289"/>
      <c r="H13" s="289">
        <f>IF($H$6="三分法",'附表2-收入统计表'!D7,SUM('附表2-收入统计表'!D6:D7))</f>
        <v>0</v>
      </c>
      <c r="I13" s="289"/>
      <c r="J13" s="289">
        <f t="shared" si="1"/>
        <v>0</v>
      </c>
      <c r="K13" s="289"/>
      <c r="L13" s="289"/>
    </row>
    <row r="14" ht="34.5" customHeight="1" spans="1:12">
      <c r="A14" s="287" t="s">
        <v>108</v>
      </c>
      <c r="B14" s="287"/>
      <c r="C14" s="288">
        <v>4</v>
      </c>
      <c r="D14" s="289">
        <f>'附表2-收入统计表'!E5</f>
        <v>0</v>
      </c>
      <c r="E14" s="289"/>
      <c r="F14" s="289">
        <f>IF($H$6="三分法",'附表2-收入统计表'!E6,"")</f>
        <v>0</v>
      </c>
      <c r="G14" s="289"/>
      <c r="H14" s="289">
        <f>IF($H$6="三分法",'附表2-收入统计表'!E7,SUM('附表2-收入统计表'!E6:E7))</f>
        <v>0</v>
      </c>
      <c r="I14" s="289"/>
      <c r="J14" s="289">
        <f t="shared" si="1"/>
        <v>0</v>
      </c>
      <c r="K14" s="289"/>
      <c r="L14" s="289"/>
    </row>
    <row r="15" ht="34.5" customHeight="1" spans="1:12">
      <c r="A15" s="287" t="s">
        <v>109</v>
      </c>
      <c r="B15" s="287"/>
      <c r="C15" s="288" t="s">
        <v>110</v>
      </c>
      <c r="D15" s="289">
        <f t="shared" ref="D15:H15" si="2">SUM(D16)+SUM(D18)+SUM(D26)+SUM(D29)+SUM(D33)+SUM(D34)</f>
        <v>0</v>
      </c>
      <c r="E15" s="289"/>
      <c r="F15" s="289">
        <f t="shared" si="2"/>
        <v>0</v>
      </c>
      <c r="G15" s="289"/>
      <c r="H15" s="289">
        <f t="shared" si="2"/>
        <v>0</v>
      </c>
      <c r="I15" s="289"/>
      <c r="J15" s="289">
        <f t="shared" si="1"/>
        <v>0</v>
      </c>
      <c r="K15" s="289"/>
      <c r="L15" s="289"/>
    </row>
    <row r="16" s="269" customFormat="1" ht="34.5" customHeight="1" spans="1:12">
      <c r="A16" s="287" t="s">
        <v>111</v>
      </c>
      <c r="B16" s="287"/>
      <c r="C16" s="288">
        <v>6</v>
      </c>
      <c r="D16" s="289">
        <f>SUM('附表3-扣除项目分摊表'!K7)</f>
        <v>0</v>
      </c>
      <c r="E16" s="289"/>
      <c r="F16" s="289">
        <f>IF($H$6="三分法",SUM('附表3-扣除项目分摊表'!L7),"")</f>
        <v>0</v>
      </c>
      <c r="G16" s="289"/>
      <c r="H16" s="289">
        <f>IF($H$6="三分法",SUM('附表3-扣除项目分摊表'!M7),SUM('附表3-扣除项目分摊表'!L7:M7))</f>
        <v>0</v>
      </c>
      <c r="I16" s="289"/>
      <c r="J16" s="289">
        <f t="shared" si="1"/>
        <v>0</v>
      </c>
      <c r="K16" s="289"/>
      <c r="L16" s="289"/>
    </row>
    <row r="17" s="269" customFormat="1" ht="34.5" customHeight="1" spans="1:12">
      <c r="A17" s="287" t="s">
        <v>112</v>
      </c>
      <c r="B17" s="287"/>
      <c r="C17" s="290" t="s">
        <v>113</v>
      </c>
      <c r="D17" s="289">
        <f>SUM('附表3-扣除项目分摊表'!K8)</f>
        <v>0</v>
      </c>
      <c r="E17" s="289"/>
      <c r="F17" s="289">
        <f>IF($H$6="三分法",SUM('附表3-扣除项目分摊表'!L8),"")</f>
        <v>0</v>
      </c>
      <c r="G17" s="289"/>
      <c r="H17" s="289">
        <f>IF($H$6="三分法",SUM('附表3-扣除项目分摊表'!M8),SUM('附表3-扣除项目分摊表'!L8:M8))</f>
        <v>0</v>
      </c>
      <c r="I17" s="289"/>
      <c r="J17" s="289">
        <f t="shared" si="1"/>
        <v>0</v>
      </c>
      <c r="K17" s="289"/>
      <c r="L17" s="289"/>
    </row>
    <row r="18" s="269" customFormat="1" ht="34.5" customHeight="1" spans="1:12">
      <c r="A18" s="287" t="s">
        <v>114</v>
      </c>
      <c r="B18" s="287"/>
      <c r="C18" s="288" t="s">
        <v>115</v>
      </c>
      <c r="D18" s="289">
        <f t="shared" ref="D18:H18" si="3">SUM(D19:D24)</f>
        <v>0</v>
      </c>
      <c r="E18" s="289"/>
      <c r="F18" s="289">
        <f t="shared" si="3"/>
        <v>0</v>
      </c>
      <c r="G18" s="289"/>
      <c r="H18" s="289">
        <f t="shared" si="3"/>
        <v>0</v>
      </c>
      <c r="I18" s="289"/>
      <c r="J18" s="289">
        <f t="shared" si="1"/>
        <v>0</v>
      </c>
      <c r="K18" s="289"/>
      <c r="L18" s="289"/>
    </row>
    <row r="19" s="269" customFormat="1" ht="34.5" customHeight="1" spans="1:12">
      <c r="A19" s="287" t="s">
        <v>116</v>
      </c>
      <c r="B19" s="287"/>
      <c r="C19" s="288">
        <v>8</v>
      </c>
      <c r="D19" s="289">
        <f>SUM('附表3-扣除项目分摊表'!K10)</f>
        <v>0</v>
      </c>
      <c r="E19" s="289"/>
      <c r="F19" s="289">
        <f>IF($H$6="三分法",SUM('附表3-扣除项目分摊表'!L10),"")</f>
        <v>0</v>
      </c>
      <c r="G19" s="289"/>
      <c r="H19" s="289">
        <f>IF($H$6="三分法",SUM('附表3-扣除项目分摊表'!M10),SUM('附表3-扣除项目分摊表'!L10:M10))</f>
        <v>0</v>
      </c>
      <c r="I19" s="289"/>
      <c r="J19" s="289">
        <f t="shared" si="1"/>
        <v>0</v>
      </c>
      <c r="K19" s="289"/>
      <c r="L19" s="289"/>
    </row>
    <row r="20" s="269" customFormat="1" ht="34.5" customHeight="1" spans="1:12">
      <c r="A20" s="287" t="s">
        <v>117</v>
      </c>
      <c r="B20" s="287"/>
      <c r="C20" s="288">
        <v>9</v>
      </c>
      <c r="D20" s="289">
        <f>SUM('附表3-扣除项目分摊表'!K11)</f>
        <v>0</v>
      </c>
      <c r="E20" s="289"/>
      <c r="F20" s="289">
        <f>IF($H$6="三分法",SUM('附表3-扣除项目分摊表'!L11),"")</f>
        <v>0</v>
      </c>
      <c r="G20" s="289"/>
      <c r="H20" s="289">
        <f>IF($H$6="三分法",SUM('附表3-扣除项目分摊表'!M11),SUM('附表3-扣除项目分摊表'!L11:M11))</f>
        <v>0</v>
      </c>
      <c r="I20" s="289"/>
      <c r="J20" s="289">
        <f t="shared" si="1"/>
        <v>0</v>
      </c>
      <c r="K20" s="289"/>
      <c r="L20" s="289"/>
    </row>
    <row r="21" s="269" customFormat="1" ht="34.5" customHeight="1" spans="1:12">
      <c r="A21" s="287" t="s">
        <v>118</v>
      </c>
      <c r="B21" s="287"/>
      <c r="C21" s="288">
        <v>10</v>
      </c>
      <c r="D21" s="289">
        <f>SUM('附表3-扣除项目分摊表'!K12)</f>
        <v>0</v>
      </c>
      <c r="E21" s="289"/>
      <c r="F21" s="289">
        <f>IF($H$6="三分法",SUM('附表3-扣除项目分摊表'!L12),"")</f>
        <v>0</v>
      </c>
      <c r="G21" s="289"/>
      <c r="H21" s="289">
        <f>IF($H$6="三分法",SUM('附表3-扣除项目分摊表'!M12),SUM('附表3-扣除项目分摊表'!L12:M12))</f>
        <v>0</v>
      </c>
      <c r="I21" s="289"/>
      <c r="J21" s="289">
        <f t="shared" si="1"/>
        <v>0</v>
      </c>
      <c r="K21" s="289"/>
      <c r="L21" s="289"/>
    </row>
    <row r="22" s="269" customFormat="1" ht="34.5" customHeight="1" spans="1:12">
      <c r="A22" s="287" t="s">
        <v>119</v>
      </c>
      <c r="B22" s="287"/>
      <c r="C22" s="288">
        <v>11</v>
      </c>
      <c r="D22" s="289">
        <f>SUM('附表3-扣除项目分摊表'!K13)</f>
        <v>0</v>
      </c>
      <c r="E22" s="289"/>
      <c r="F22" s="289">
        <f>IF($H$6="三分法",SUM('附表3-扣除项目分摊表'!L13),"")</f>
        <v>0</v>
      </c>
      <c r="G22" s="289"/>
      <c r="H22" s="289">
        <f>IF($H$6="三分法",SUM('附表3-扣除项目分摊表'!M13),SUM('附表3-扣除项目分摊表'!L13:M13))</f>
        <v>0</v>
      </c>
      <c r="I22" s="289"/>
      <c r="J22" s="289">
        <f t="shared" si="1"/>
        <v>0</v>
      </c>
      <c r="K22" s="289"/>
      <c r="L22" s="289"/>
    </row>
    <row r="23" s="269" customFormat="1" ht="34.5" customHeight="1" spans="1:12">
      <c r="A23" s="287" t="s">
        <v>120</v>
      </c>
      <c r="B23" s="287"/>
      <c r="C23" s="288">
        <v>12</v>
      </c>
      <c r="D23" s="289">
        <f>SUM('附表3-扣除项目分摊表'!K14)</f>
        <v>0</v>
      </c>
      <c r="E23" s="289"/>
      <c r="F23" s="289">
        <f>IF($H$6="三分法",SUM('附表3-扣除项目分摊表'!L14),"")</f>
        <v>0</v>
      </c>
      <c r="G23" s="289"/>
      <c r="H23" s="289">
        <f>IF($H$6="三分法",SUM('附表3-扣除项目分摊表'!M14),SUM('附表3-扣除项目分摊表'!L14:M14))</f>
        <v>0</v>
      </c>
      <c r="I23" s="289"/>
      <c r="J23" s="289">
        <f t="shared" si="1"/>
        <v>0</v>
      </c>
      <c r="K23" s="289"/>
      <c r="L23" s="289"/>
    </row>
    <row r="24" s="269" customFormat="1" ht="34.5" customHeight="1" spans="1:12">
      <c r="A24" s="287" t="s">
        <v>121</v>
      </c>
      <c r="B24" s="287"/>
      <c r="C24" s="288">
        <v>13</v>
      </c>
      <c r="D24" s="289">
        <f>SUM('附表3-扣除项目分摊表'!K15)</f>
        <v>0</v>
      </c>
      <c r="E24" s="289"/>
      <c r="F24" s="289">
        <f>IF($H$6="三分法",SUM('附表3-扣除项目分摊表'!L15),"")</f>
        <v>0</v>
      </c>
      <c r="G24" s="289"/>
      <c r="H24" s="289">
        <f>IF($H$6="三分法",SUM('附表3-扣除项目分摊表'!M15),SUM('附表3-扣除项目分摊表'!L15:M15))</f>
        <v>0</v>
      </c>
      <c r="I24" s="289"/>
      <c r="J24" s="289">
        <f t="shared" si="1"/>
        <v>0</v>
      </c>
      <c r="K24" s="289"/>
      <c r="L24" s="289"/>
    </row>
    <row r="25" s="269" customFormat="1" ht="34.5" customHeight="1" spans="1:12">
      <c r="A25" s="287" t="s">
        <v>112</v>
      </c>
      <c r="B25" s="287"/>
      <c r="C25" s="290" t="s">
        <v>122</v>
      </c>
      <c r="D25" s="289">
        <f>SUM('附表3-扣除项目分摊表'!K16)</f>
        <v>0</v>
      </c>
      <c r="E25" s="289"/>
      <c r="F25" s="289">
        <f>IF($H$6="三分法",SUM('附表3-扣除项目分摊表'!L16),"")</f>
        <v>0</v>
      </c>
      <c r="G25" s="289"/>
      <c r="H25" s="289">
        <f>IF($H$6="三分法",SUM('附表3-扣除项目分摊表'!M16),SUM('附表3-扣除项目分摊表'!L16:M16))</f>
        <v>0</v>
      </c>
      <c r="I25" s="289"/>
      <c r="J25" s="289">
        <f t="shared" si="1"/>
        <v>0</v>
      </c>
      <c r="K25" s="289"/>
      <c r="L25" s="289"/>
    </row>
    <row r="26" ht="34.5" customHeight="1" spans="1:12">
      <c r="A26" s="287" t="s">
        <v>123</v>
      </c>
      <c r="B26" s="287"/>
      <c r="C26" s="288" t="s">
        <v>124</v>
      </c>
      <c r="D26" s="289">
        <f t="shared" ref="D26:H26" si="4">SUM(D27:D28)</f>
        <v>0</v>
      </c>
      <c r="E26" s="289"/>
      <c r="F26" s="289">
        <f t="shared" si="4"/>
        <v>0</v>
      </c>
      <c r="G26" s="289"/>
      <c r="H26" s="289">
        <f t="shared" si="4"/>
        <v>0</v>
      </c>
      <c r="I26" s="289"/>
      <c r="J26" s="289">
        <f t="shared" si="1"/>
        <v>0</v>
      </c>
      <c r="K26" s="289"/>
      <c r="L26" s="289"/>
    </row>
    <row r="27" ht="34.5" customHeight="1" spans="1:12">
      <c r="A27" s="287" t="s">
        <v>125</v>
      </c>
      <c r="B27" s="287"/>
      <c r="C27" s="288">
        <v>15</v>
      </c>
      <c r="D27" s="289">
        <f>SUM('附表3-扣除项目分摊表'!K18)</f>
        <v>0</v>
      </c>
      <c r="E27" s="289"/>
      <c r="F27" s="289">
        <f>IF($H$6="三分法",SUM('附表3-扣除项目分摊表'!L18),"")</f>
        <v>0</v>
      </c>
      <c r="G27" s="289"/>
      <c r="H27" s="289">
        <f>IF($H$6="三分法",SUM('附表3-扣除项目分摊表'!M18),SUM('附表3-扣除项目分摊表'!L18:M18))</f>
        <v>0</v>
      </c>
      <c r="I27" s="289"/>
      <c r="J27" s="289">
        <f t="shared" si="1"/>
        <v>0</v>
      </c>
      <c r="K27" s="289"/>
      <c r="L27" s="289"/>
    </row>
    <row r="28" ht="34.5" customHeight="1" spans="1:12">
      <c r="A28" s="287" t="s">
        <v>126</v>
      </c>
      <c r="B28" s="287"/>
      <c r="C28" s="288">
        <v>16</v>
      </c>
      <c r="D28" s="289">
        <f>SUM('附表3-扣除项目分摊表'!K19)</f>
        <v>0</v>
      </c>
      <c r="E28" s="289"/>
      <c r="F28" s="289">
        <f>IF($H$6="三分法",SUM('附表3-扣除项目分摊表'!L19),"")</f>
        <v>0</v>
      </c>
      <c r="G28" s="289"/>
      <c r="H28" s="289">
        <f>IF($H$6="三分法",SUM('附表3-扣除项目分摊表'!M19),SUM('附表3-扣除项目分摊表'!L19:M19))</f>
        <v>0</v>
      </c>
      <c r="I28" s="289"/>
      <c r="J28" s="289">
        <f t="shared" si="1"/>
        <v>0</v>
      </c>
      <c r="K28" s="289"/>
      <c r="L28" s="289"/>
    </row>
    <row r="29" ht="34.5" customHeight="1" spans="1:12">
      <c r="A29" s="287" t="s">
        <v>127</v>
      </c>
      <c r="B29" s="287"/>
      <c r="C29" s="288" t="s">
        <v>128</v>
      </c>
      <c r="D29" s="289">
        <f t="shared" ref="D29:H29" si="5">SUM(D30:D32)</f>
        <v>0</v>
      </c>
      <c r="E29" s="289"/>
      <c r="F29" s="289">
        <f t="shared" si="5"/>
        <v>0</v>
      </c>
      <c r="G29" s="289"/>
      <c r="H29" s="289">
        <f t="shared" si="5"/>
        <v>0</v>
      </c>
      <c r="I29" s="289"/>
      <c r="J29" s="289">
        <f t="shared" si="1"/>
        <v>0</v>
      </c>
      <c r="K29" s="289"/>
      <c r="L29" s="289"/>
    </row>
    <row r="30" ht="34.5" customHeight="1" spans="1:12">
      <c r="A30" s="287" t="s">
        <v>129</v>
      </c>
      <c r="B30" s="287"/>
      <c r="C30" s="288">
        <v>18</v>
      </c>
      <c r="D30" s="289">
        <f>SUM('附表3-扣除项目分摊表'!K21)</f>
        <v>0</v>
      </c>
      <c r="E30" s="289"/>
      <c r="F30" s="289">
        <f>IF($H$6="三分法",SUM('附表3-扣除项目分摊表'!L21),"")</f>
        <v>0</v>
      </c>
      <c r="G30" s="289"/>
      <c r="H30" s="289">
        <f>IF($H$6="三分法",SUM('附表3-扣除项目分摊表'!M21),SUM('附表3-扣除项目分摊表'!L21:M21))</f>
        <v>0</v>
      </c>
      <c r="I30" s="289"/>
      <c r="J30" s="289">
        <f t="shared" si="1"/>
        <v>0</v>
      </c>
      <c r="K30" s="289"/>
      <c r="L30" s="289"/>
    </row>
    <row r="31" ht="34.5" customHeight="1" spans="1:12">
      <c r="A31" s="287" t="s">
        <v>130</v>
      </c>
      <c r="B31" s="287"/>
      <c r="C31" s="288">
        <v>19</v>
      </c>
      <c r="D31" s="289">
        <f>SUM('附表3-扣除项目分摊表'!K22)</f>
        <v>0</v>
      </c>
      <c r="E31" s="289"/>
      <c r="F31" s="289">
        <f>IF($H$6="三分法",SUM('附表3-扣除项目分摊表'!L22),"")</f>
        <v>0</v>
      </c>
      <c r="G31" s="289"/>
      <c r="H31" s="289">
        <f>IF($H$6="三分法",SUM('附表3-扣除项目分摊表'!M22),SUM('附表3-扣除项目分摊表'!L22:M22))</f>
        <v>0</v>
      </c>
      <c r="I31" s="289"/>
      <c r="J31" s="289">
        <f t="shared" si="1"/>
        <v>0</v>
      </c>
      <c r="K31" s="289"/>
      <c r="L31" s="289"/>
    </row>
    <row r="32" ht="34.5" customHeight="1" spans="1:12">
      <c r="A32" s="287" t="s">
        <v>131</v>
      </c>
      <c r="B32" s="287"/>
      <c r="C32" s="288">
        <v>20</v>
      </c>
      <c r="D32" s="289">
        <f>SUM('附表3-扣除项目分摊表'!K23:K25)</f>
        <v>0</v>
      </c>
      <c r="E32" s="289"/>
      <c r="F32" s="289">
        <f>IF($H$6="三分法",SUM('附表3-扣除项目分摊表'!L23:L25),"")</f>
        <v>0</v>
      </c>
      <c r="G32" s="289"/>
      <c r="H32" s="289">
        <f>IF($H$6="三分法",SUM('附表3-扣除项目分摊表'!M23:M25),SUM('附表3-扣除项目分摊表'!L23:M25))</f>
        <v>0</v>
      </c>
      <c r="I32" s="289"/>
      <c r="J32" s="289">
        <f t="shared" si="1"/>
        <v>0</v>
      </c>
      <c r="K32" s="289"/>
      <c r="L32" s="289"/>
    </row>
    <row r="33" ht="34.5" customHeight="1" spans="1:12">
      <c r="A33" s="287" t="s">
        <v>132</v>
      </c>
      <c r="B33" s="287"/>
      <c r="C33" s="288">
        <v>21</v>
      </c>
      <c r="D33" s="289">
        <f>SUM('附表3-扣除项目分摊表'!K26)</f>
        <v>0</v>
      </c>
      <c r="E33" s="289"/>
      <c r="F33" s="289">
        <f>IF($H$6="三分法",SUM('附表3-扣除项目分摊表'!L26),"")</f>
        <v>0</v>
      </c>
      <c r="G33" s="289"/>
      <c r="H33" s="289">
        <f>IF($H$6="三分法",SUM('附表3-扣除项目分摊表'!M26),SUM('附表3-扣除项目分摊表'!L26:M26))</f>
        <v>0</v>
      </c>
      <c r="I33" s="289"/>
      <c r="J33" s="289">
        <f t="shared" si="1"/>
        <v>0</v>
      </c>
      <c r="K33" s="289"/>
      <c r="L33" s="289"/>
    </row>
    <row r="34" ht="34.5" customHeight="1" spans="1:12">
      <c r="A34" s="287" t="s">
        <v>133</v>
      </c>
      <c r="B34" s="287"/>
      <c r="C34" s="288">
        <v>22</v>
      </c>
      <c r="D34" s="289">
        <f>SUM('附表3-扣除项目分摊表'!K27)</f>
        <v>0</v>
      </c>
      <c r="E34" s="289"/>
      <c r="F34" s="289">
        <f>IF($H$6="三分法",SUM('附表3-扣除项目分摊表'!L27),"")</f>
        <v>0</v>
      </c>
      <c r="G34" s="289"/>
      <c r="H34" s="289">
        <f>IF($H$6="三分法",SUM('附表3-扣除项目分摊表'!M27),SUM('附表3-扣除项目分摊表'!L27:M27))</f>
        <v>0</v>
      </c>
      <c r="I34" s="289"/>
      <c r="J34" s="289">
        <f t="shared" si="1"/>
        <v>0</v>
      </c>
      <c r="K34" s="289"/>
      <c r="L34" s="289"/>
    </row>
    <row r="35" ht="34.5" customHeight="1" spans="1:12">
      <c r="A35" s="287" t="s">
        <v>134</v>
      </c>
      <c r="B35" s="287"/>
      <c r="C35" s="288" t="s">
        <v>135</v>
      </c>
      <c r="D35" s="289">
        <f t="shared" ref="D35:H35" si="6">D11-D15</f>
        <v>0</v>
      </c>
      <c r="E35" s="289"/>
      <c r="F35" s="289">
        <f t="shared" si="6"/>
        <v>0</v>
      </c>
      <c r="G35" s="289"/>
      <c r="H35" s="289">
        <f t="shared" si="6"/>
        <v>0</v>
      </c>
      <c r="I35" s="289"/>
      <c r="J35" s="289">
        <f t="shared" si="1"/>
        <v>0</v>
      </c>
      <c r="K35" s="289"/>
      <c r="L35" s="289"/>
    </row>
    <row r="36" ht="34.5" customHeight="1" spans="1:12">
      <c r="A36" s="287" t="s">
        <v>136</v>
      </c>
      <c r="B36" s="287"/>
      <c r="C36" s="288" t="s">
        <v>137</v>
      </c>
      <c r="D36" s="291" t="str">
        <f t="shared" ref="D36:H36" si="7">IF(D15=0,"",ROUND(D35/D15,6))</f>
        <v/>
      </c>
      <c r="E36" s="291"/>
      <c r="F36" s="291" t="str">
        <f t="shared" si="7"/>
        <v/>
      </c>
      <c r="G36" s="291"/>
      <c r="H36" s="291" t="str">
        <f t="shared" si="7"/>
        <v/>
      </c>
      <c r="I36" s="291"/>
      <c r="J36" s="291" t="str">
        <f>IF(J15=0,"",ROUND(J35/J15,6))</f>
        <v/>
      </c>
      <c r="K36" s="291"/>
      <c r="L36" s="291"/>
    </row>
    <row r="37" ht="34.5" customHeight="1" spans="1:12">
      <c r="A37" s="287" t="s">
        <v>138</v>
      </c>
      <c r="B37" s="287"/>
      <c r="C37" s="288">
        <v>25</v>
      </c>
      <c r="D37" s="291" t="str">
        <f t="shared" ref="D37:H37" si="8">IF(D35&lt;0,"",IF(D36="","",IF(D36&gt;200%,60%,IF(D36&gt;100%,50%,IF(D36&gt;50%,40%,30%)))))</f>
        <v/>
      </c>
      <c r="E37" s="291"/>
      <c r="F37" s="291" t="str">
        <f t="shared" si="8"/>
        <v/>
      </c>
      <c r="G37" s="291"/>
      <c r="H37" s="291" t="str">
        <f t="shared" si="8"/>
        <v/>
      </c>
      <c r="I37" s="291"/>
      <c r="J37" s="291"/>
      <c r="K37" s="291"/>
      <c r="L37" s="291"/>
    </row>
    <row r="38" ht="34.5" customHeight="1" spans="1:12">
      <c r="A38" s="287" t="s">
        <v>139</v>
      </c>
      <c r="B38" s="287"/>
      <c r="C38" s="288">
        <v>26</v>
      </c>
      <c r="D38" s="291" t="str">
        <f t="shared" ref="D38:H38" si="9">IF(D36="","",IF(D36&gt;200%,35%,IF(D36&gt;100%,15%,IF(D36&gt;50%,5%,0))))</f>
        <v/>
      </c>
      <c r="E38" s="291"/>
      <c r="F38" s="291" t="str">
        <f t="shared" si="9"/>
        <v/>
      </c>
      <c r="G38" s="291"/>
      <c r="H38" s="291" t="str">
        <f t="shared" si="9"/>
        <v/>
      </c>
      <c r="I38" s="291"/>
      <c r="J38" s="291"/>
      <c r="K38" s="291"/>
      <c r="L38" s="291"/>
    </row>
    <row r="39" ht="34.5" customHeight="1" spans="1:12">
      <c r="A39" s="287" t="s">
        <v>140</v>
      </c>
      <c r="B39" s="287"/>
      <c r="C39" s="288" t="s">
        <v>141</v>
      </c>
      <c r="D39" s="289">
        <f t="shared" ref="D39:H39" si="10">IF(D35&lt;0,0,ROUND(SUM(D35)*SUM(D37)-SUM(D15)*SUM(D38),2))</f>
        <v>0</v>
      </c>
      <c r="E39" s="289"/>
      <c r="F39" s="289">
        <f t="shared" si="10"/>
        <v>0</v>
      </c>
      <c r="G39" s="289"/>
      <c r="H39" s="289">
        <f t="shared" si="10"/>
        <v>0</v>
      </c>
      <c r="I39" s="289"/>
      <c r="J39" s="289">
        <f t="shared" ref="J39:J42" si="11">SUM(D39:I39)</f>
        <v>0</v>
      </c>
      <c r="K39" s="289"/>
      <c r="L39" s="289"/>
    </row>
    <row r="40" ht="34.5" customHeight="1" spans="1:12">
      <c r="A40" s="287" t="s">
        <v>142</v>
      </c>
      <c r="B40" s="287"/>
      <c r="C40" s="288" t="s">
        <v>143</v>
      </c>
      <c r="D40" s="289">
        <f t="shared" ref="D40:H40" si="12">D42+D44+D46</f>
        <v>0</v>
      </c>
      <c r="E40" s="289"/>
      <c r="F40" s="289">
        <f t="shared" si="12"/>
        <v>0</v>
      </c>
      <c r="G40" s="289"/>
      <c r="H40" s="289">
        <f t="shared" si="12"/>
        <v>0</v>
      </c>
      <c r="I40" s="289"/>
      <c r="J40" s="289">
        <f t="shared" si="11"/>
        <v>0</v>
      </c>
      <c r="K40" s="289"/>
      <c r="L40" s="289"/>
    </row>
    <row r="41" ht="37.5" spans="1:12">
      <c r="A41" s="287" t="s">
        <v>144</v>
      </c>
      <c r="B41" s="287" t="s">
        <v>145</v>
      </c>
      <c r="C41" s="288">
        <v>29</v>
      </c>
      <c r="D41" s="289" t="str">
        <f>IF(D35&lt;0,"",IF(D36&gt;20%,"","普通住宅增值率不超过20%的土地增值税减免"))</f>
        <v/>
      </c>
      <c r="E41" s="289"/>
      <c r="F41" s="289"/>
      <c r="G41" s="289"/>
      <c r="H41" s="289"/>
      <c r="I41" s="289"/>
      <c r="J41" s="289"/>
      <c r="K41" s="289"/>
      <c r="L41" s="289"/>
    </row>
    <row r="42" ht="34.5" customHeight="1" spans="1:12">
      <c r="A42" s="287"/>
      <c r="B42" s="287" t="s">
        <v>146</v>
      </c>
      <c r="C42" s="288">
        <v>30</v>
      </c>
      <c r="D42" s="289">
        <f>IF(D35&lt;0,0,IF(D36&gt;20%,0,D35*D37))</f>
        <v>0</v>
      </c>
      <c r="E42" s="289"/>
      <c r="F42" s="289">
        <v>0</v>
      </c>
      <c r="G42" s="289"/>
      <c r="H42" s="289">
        <v>0</v>
      </c>
      <c r="I42" s="289"/>
      <c r="J42" s="289">
        <f t="shared" si="11"/>
        <v>0</v>
      </c>
      <c r="K42" s="289"/>
      <c r="L42" s="289"/>
    </row>
    <row r="43" ht="37.5" spans="1:12">
      <c r="A43" s="287" t="s">
        <v>147</v>
      </c>
      <c r="B43" s="287" t="s">
        <v>148</v>
      </c>
      <c r="C43" s="288">
        <v>31</v>
      </c>
      <c r="D43" s="289"/>
      <c r="E43" s="289"/>
      <c r="F43" s="292"/>
      <c r="G43" s="292"/>
      <c r="H43" s="289"/>
      <c r="I43" s="289"/>
      <c r="J43" s="289"/>
      <c r="K43" s="289"/>
      <c r="L43" s="289"/>
    </row>
    <row r="44" ht="34.5" customHeight="1" spans="1:12">
      <c r="A44" s="287"/>
      <c r="B44" s="287" t="s">
        <v>149</v>
      </c>
      <c r="C44" s="288">
        <v>32</v>
      </c>
      <c r="D44" s="289">
        <v>0</v>
      </c>
      <c r="E44" s="289"/>
      <c r="F44" s="289">
        <v>0</v>
      </c>
      <c r="G44" s="289"/>
      <c r="H44" s="289">
        <v>0</v>
      </c>
      <c r="I44" s="289"/>
      <c r="J44" s="289">
        <f t="shared" ref="J44:J48" si="13">SUM(D44:I44)</f>
        <v>0</v>
      </c>
      <c r="K44" s="289"/>
      <c r="L44" s="289"/>
    </row>
    <row r="45" ht="37.5" spans="1:12">
      <c r="A45" s="287" t="s">
        <v>150</v>
      </c>
      <c r="B45" s="287" t="s">
        <v>151</v>
      </c>
      <c r="C45" s="288">
        <v>33</v>
      </c>
      <c r="D45" s="289"/>
      <c r="E45" s="289"/>
      <c r="F45" s="292"/>
      <c r="G45" s="292"/>
      <c r="H45" s="289"/>
      <c r="I45" s="289"/>
      <c r="J45" s="289"/>
      <c r="K45" s="289"/>
      <c r="L45" s="289"/>
    </row>
    <row r="46" ht="34.5" customHeight="1" spans="1:12">
      <c r="A46" s="287"/>
      <c r="B46" s="287" t="s">
        <v>152</v>
      </c>
      <c r="C46" s="288">
        <v>34</v>
      </c>
      <c r="D46" s="289">
        <v>0</v>
      </c>
      <c r="E46" s="289"/>
      <c r="F46" s="289">
        <v>0</v>
      </c>
      <c r="G46" s="289"/>
      <c r="H46" s="289">
        <v>0</v>
      </c>
      <c r="I46" s="289"/>
      <c r="J46" s="289">
        <f t="shared" si="13"/>
        <v>0</v>
      </c>
      <c r="K46" s="289"/>
      <c r="L46" s="289"/>
    </row>
    <row r="47" ht="34.5" customHeight="1" spans="1:12">
      <c r="A47" s="287" t="s">
        <v>153</v>
      </c>
      <c r="B47" s="287"/>
      <c r="C47" s="288">
        <v>35</v>
      </c>
      <c r="D47" s="289" t="s">
        <v>154</v>
      </c>
      <c r="E47" s="289"/>
      <c r="F47" s="292" t="s">
        <v>154</v>
      </c>
      <c r="G47" s="292"/>
      <c r="H47" s="289" t="s">
        <v>154</v>
      </c>
      <c r="I47" s="289"/>
      <c r="J47" s="289">
        <f t="shared" si="13"/>
        <v>0</v>
      </c>
      <c r="K47" s="289"/>
      <c r="L47" s="289"/>
    </row>
    <row r="48" ht="34.5" customHeight="1" spans="1:12">
      <c r="A48" s="287" t="s">
        <v>155</v>
      </c>
      <c r="B48" s="287"/>
      <c r="C48" s="288" t="s">
        <v>156</v>
      </c>
      <c r="D48" s="289">
        <f t="shared" ref="D48:H48" si="14">SUM(D39)-SUM(D40)-SUM(D47)</f>
        <v>0</v>
      </c>
      <c r="E48" s="289"/>
      <c r="F48" s="289">
        <f t="shared" si="14"/>
        <v>0</v>
      </c>
      <c r="G48" s="289"/>
      <c r="H48" s="289">
        <f t="shared" si="14"/>
        <v>0</v>
      </c>
      <c r="I48" s="289"/>
      <c r="J48" s="289">
        <f t="shared" si="13"/>
        <v>0</v>
      </c>
      <c r="K48" s="289"/>
      <c r="L48" s="289"/>
    </row>
  </sheetData>
  <mergeCells count="212">
    <mergeCell ref="A1:L1"/>
    <mergeCell ref="B2:L2"/>
    <mergeCell ref="B3:L3"/>
    <mergeCell ref="B4:F4"/>
    <mergeCell ref="G4:J4"/>
    <mergeCell ref="K4:L4"/>
    <mergeCell ref="B5:E5"/>
    <mergeCell ref="F5:G5"/>
    <mergeCell ref="H5:L5"/>
    <mergeCell ref="B6:E6"/>
    <mergeCell ref="F6:G6"/>
    <mergeCell ref="H6:L6"/>
    <mergeCell ref="B7:E7"/>
    <mergeCell ref="G7:L7"/>
    <mergeCell ref="D8:E8"/>
    <mergeCell ref="G8:H8"/>
    <mergeCell ref="J8:L8"/>
    <mergeCell ref="D9:E9"/>
    <mergeCell ref="G9:H9"/>
    <mergeCell ref="J9:L9"/>
    <mergeCell ref="A10:B10"/>
    <mergeCell ref="D10:E10"/>
    <mergeCell ref="F10:G10"/>
    <mergeCell ref="H10:I10"/>
    <mergeCell ref="J10:L10"/>
    <mergeCell ref="A11:B11"/>
    <mergeCell ref="D11:E11"/>
    <mergeCell ref="F11:G11"/>
    <mergeCell ref="H11:I11"/>
    <mergeCell ref="J11:L11"/>
    <mergeCell ref="A12:B12"/>
    <mergeCell ref="D12:E12"/>
    <mergeCell ref="F12:G12"/>
    <mergeCell ref="H12:I12"/>
    <mergeCell ref="J12:L12"/>
    <mergeCell ref="A13:B13"/>
    <mergeCell ref="D13:E13"/>
    <mergeCell ref="F13:G13"/>
    <mergeCell ref="H13:I13"/>
    <mergeCell ref="J13:L13"/>
    <mergeCell ref="A14:B14"/>
    <mergeCell ref="D14:E14"/>
    <mergeCell ref="F14:G14"/>
    <mergeCell ref="H14:I14"/>
    <mergeCell ref="J14:L14"/>
    <mergeCell ref="A15:B15"/>
    <mergeCell ref="D15:E15"/>
    <mergeCell ref="F15:G15"/>
    <mergeCell ref="H15:I15"/>
    <mergeCell ref="J15:L15"/>
    <mergeCell ref="A16:B16"/>
    <mergeCell ref="D16:E16"/>
    <mergeCell ref="F16:G16"/>
    <mergeCell ref="H16:I16"/>
    <mergeCell ref="J16:L16"/>
    <mergeCell ref="A17:B17"/>
    <mergeCell ref="D17:E17"/>
    <mergeCell ref="F17:G17"/>
    <mergeCell ref="H17:I17"/>
    <mergeCell ref="J17:L17"/>
    <mergeCell ref="A18:B18"/>
    <mergeCell ref="D18:E18"/>
    <mergeCell ref="F18:G18"/>
    <mergeCell ref="H18:I18"/>
    <mergeCell ref="J18:L18"/>
    <mergeCell ref="A19:B19"/>
    <mergeCell ref="D19:E19"/>
    <mergeCell ref="F19:G19"/>
    <mergeCell ref="H19:I19"/>
    <mergeCell ref="J19:L19"/>
    <mergeCell ref="A20:B20"/>
    <mergeCell ref="D20:E20"/>
    <mergeCell ref="F20:G20"/>
    <mergeCell ref="H20:I20"/>
    <mergeCell ref="J20:L20"/>
    <mergeCell ref="A21:B21"/>
    <mergeCell ref="D21:E21"/>
    <mergeCell ref="F21:G21"/>
    <mergeCell ref="H21:I21"/>
    <mergeCell ref="J21:L21"/>
    <mergeCell ref="A22:B22"/>
    <mergeCell ref="D22:E22"/>
    <mergeCell ref="F22:G22"/>
    <mergeCell ref="H22:I22"/>
    <mergeCell ref="J22:L22"/>
    <mergeCell ref="A23:B23"/>
    <mergeCell ref="D23:E23"/>
    <mergeCell ref="F23:G23"/>
    <mergeCell ref="H23:I23"/>
    <mergeCell ref="J23:L23"/>
    <mergeCell ref="A24:B24"/>
    <mergeCell ref="D24:E24"/>
    <mergeCell ref="F24:G24"/>
    <mergeCell ref="H24:I24"/>
    <mergeCell ref="J24:L24"/>
    <mergeCell ref="A25:B25"/>
    <mergeCell ref="D25:E25"/>
    <mergeCell ref="F25:G25"/>
    <mergeCell ref="H25:I25"/>
    <mergeCell ref="J25:L25"/>
    <mergeCell ref="A26:B26"/>
    <mergeCell ref="D26:E26"/>
    <mergeCell ref="F26:G26"/>
    <mergeCell ref="H26:I26"/>
    <mergeCell ref="J26:L26"/>
    <mergeCell ref="A27:B27"/>
    <mergeCell ref="D27:E27"/>
    <mergeCell ref="F27:G27"/>
    <mergeCell ref="H27:I27"/>
    <mergeCell ref="J27:L27"/>
    <mergeCell ref="A28:B28"/>
    <mergeCell ref="D28:E28"/>
    <mergeCell ref="F28:G28"/>
    <mergeCell ref="H28:I28"/>
    <mergeCell ref="J28:L28"/>
    <mergeCell ref="A29:B29"/>
    <mergeCell ref="D29:E29"/>
    <mergeCell ref="F29:G29"/>
    <mergeCell ref="H29:I29"/>
    <mergeCell ref="J29:L29"/>
    <mergeCell ref="A30:B30"/>
    <mergeCell ref="D30:E30"/>
    <mergeCell ref="F30:G30"/>
    <mergeCell ref="H30:I30"/>
    <mergeCell ref="J30:L30"/>
    <mergeCell ref="A31:B31"/>
    <mergeCell ref="D31:E31"/>
    <mergeCell ref="F31:G31"/>
    <mergeCell ref="H31:I31"/>
    <mergeCell ref="J31:L31"/>
    <mergeCell ref="A32:B32"/>
    <mergeCell ref="D32:E32"/>
    <mergeCell ref="F32:G32"/>
    <mergeCell ref="H32:I32"/>
    <mergeCell ref="J32:L32"/>
    <mergeCell ref="A33:B33"/>
    <mergeCell ref="D33:E33"/>
    <mergeCell ref="F33:G33"/>
    <mergeCell ref="H33:I33"/>
    <mergeCell ref="J33:L33"/>
    <mergeCell ref="A34:B34"/>
    <mergeCell ref="D34:E34"/>
    <mergeCell ref="F34:G34"/>
    <mergeCell ref="H34:I34"/>
    <mergeCell ref="J34:L34"/>
    <mergeCell ref="A35:B35"/>
    <mergeCell ref="D35:E35"/>
    <mergeCell ref="F35:G35"/>
    <mergeCell ref="H35:I35"/>
    <mergeCell ref="J35:L35"/>
    <mergeCell ref="A36:B36"/>
    <mergeCell ref="D36:E36"/>
    <mergeCell ref="F36:G36"/>
    <mergeCell ref="H36:I36"/>
    <mergeCell ref="J36:L36"/>
    <mergeCell ref="A37:B37"/>
    <mergeCell ref="D37:E37"/>
    <mergeCell ref="F37:G37"/>
    <mergeCell ref="H37:I37"/>
    <mergeCell ref="J37:L37"/>
    <mergeCell ref="A38:B38"/>
    <mergeCell ref="D38:E38"/>
    <mergeCell ref="F38:G38"/>
    <mergeCell ref="H38:I38"/>
    <mergeCell ref="J38:L38"/>
    <mergeCell ref="A39:B39"/>
    <mergeCell ref="D39:E39"/>
    <mergeCell ref="F39:G39"/>
    <mergeCell ref="H39:I39"/>
    <mergeCell ref="J39:L39"/>
    <mergeCell ref="A40:B40"/>
    <mergeCell ref="D40:E40"/>
    <mergeCell ref="F40:G40"/>
    <mergeCell ref="H40:I40"/>
    <mergeCell ref="J40:L40"/>
    <mergeCell ref="D41:E41"/>
    <mergeCell ref="F41:G41"/>
    <mergeCell ref="H41:I41"/>
    <mergeCell ref="J41:L41"/>
    <mergeCell ref="D42:E42"/>
    <mergeCell ref="F42:G42"/>
    <mergeCell ref="H42:I42"/>
    <mergeCell ref="J42:L42"/>
    <mergeCell ref="D43:E43"/>
    <mergeCell ref="F43:G43"/>
    <mergeCell ref="H43:I43"/>
    <mergeCell ref="J43:L43"/>
    <mergeCell ref="D44:E44"/>
    <mergeCell ref="F44:G44"/>
    <mergeCell ref="H44:I44"/>
    <mergeCell ref="J44:L44"/>
    <mergeCell ref="D45:E45"/>
    <mergeCell ref="F45:G45"/>
    <mergeCell ref="H45:I45"/>
    <mergeCell ref="J45:L45"/>
    <mergeCell ref="D46:E46"/>
    <mergeCell ref="F46:G46"/>
    <mergeCell ref="H46:I46"/>
    <mergeCell ref="J46:L46"/>
    <mergeCell ref="A47:B47"/>
    <mergeCell ref="D47:E47"/>
    <mergeCell ref="F47:G47"/>
    <mergeCell ref="H47:I47"/>
    <mergeCell ref="J47:L47"/>
    <mergeCell ref="A48:B48"/>
    <mergeCell ref="D48:E48"/>
    <mergeCell ref="F48:G48"/>
    <mergeCell ref="H48:I48"/>
    <mergeCell ref="J48:L48"/>
    <mergeCell ref="A41:A42"/>
    <mergeCell ref="A43:A44"/>
    <mergeCell ref="A45:A46"/>
  </mergeCells>
  <dataValidations count="1">
    <dataValidation type="list" allowBlank="1" showInputMessage="1" showErrorMessage="1" sqref="H6:L6">
      <formula1>数据对照表!$AB$1:$AC$1</formula1>
    </dataValidation>
  </dataValidations>
  <printOptions horizontalCentered="1"/>
  <pageMargins left="0.747916666666667" right="0.747916666666667" top="0.747916666666667" bottom="0.747916666666667" header="0.313888888888889" footer="0.313888888888889"/>
  <pageSetup paperSize="9" scale="54" fitToHeight="0" orientation="landscape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"/>
  <sheetViews>
    <sheetView zoomScale="120" zoomScaleNormal="120" workbookViewId="0">
      <selection activeCell="T32" sqref="T32"/>
    </sheetView>
  </sheetViews>
  <sheetFormatPr defaultColWidth="2.375" defaultRowHeight="14.25"/>
  <cols>
    <col min="1" max="1" width="4.125" style="239" customWidth="1"/>
    <col min="2" max="2" width="25" style="239"/>
    <col min="3" max="3" width="5" style="239" customWidth="1"/>
    <col min="4" max="4" width="13" style="240" customWidth="1"/>
    <col min="5" max="5" width="15.125" style="240" customWidth="1"/>
    <col min="6" max="6" width="13.625" style="240" customWidth="1"/>
    <col min="7" max="7" width="12.125" style="240" customWidth="1"/>
    <col min="8" max="8" width="14.875" style="240" customWidth="1"/>
    <col min="9" max="9" width="14.125" style="240" customWidth="1"/>
    <col min="10" max="10" width="14.5" style="240" customWidth="1"/>
    <col min="11" max="11" width="9.125" style="239" customWidth="1"/>
    <col min="12" max="16384" width="2.375" style="239"/>
  </cols>
  <sheetData>
    <row r="1" ht="22.5" spans="1:11">
      <c r="A1" s="76" t="s">
        <v>157</v>
      </c>
      <c r="B1" s="76"/>
      <c r="C1" s="76"/>
      <c r="D1" s="241"/>
      <c r="E1" s="241"/>
      <c r="F1" s="241"/>
      <c r="G1" s="241"/>
      <c r="H1" s="241"/>
      <c r="I1" s="241"/>
      <c r="J1" s="241"/>
      <c r="K1" s="76"/>
    </row>
    <row r="2" ht="25.5" customHeight="1" spans="1:11">
      <c r="A2" s="49" t="str">
        <f>土地增值税税源明细表!F5&amp;"："&amp;土地增值税税源明细表!H5&amp;"          "&amp;土地增值税税源明细表!A5&amp;"："&amp;土地增值税税源明细表!B5&amp;"          "&amp;"面积单位：㎡"</f>
        <v>项目编码：          项目名称：          面积单位：㎡</v>
      </c>
      <c r="B2" s="49"/>
      <c r="C2" s="49"/>
      <c r="D2" s="135"/>
      <c r="E2" s="135"/>
      <c r="F2" s="135"/>
      <c r="G2" s="135"/>
      <c r="H2" s="135"/>
      <c r="I2" s="135"/>
      <c r="J2" s="135"/>
      <c r="K2" s="49"/>
    </row>
    <row r="3" ht="24" spans="1:11">
      <c r="A3" s="242" t="s">
        <v>158</v>
      </c>
      <c r="B3" s="243" t="s">
        <v>159</v>
      </c>
      <c r="C3" s="243" t="s">
        <v>24</v>
      </c>
      <c r="D3" s="90" t="s">
        <v>160</v>
      </c>
      <c r="E3" s="90" t="s">
        <v>161</v>
      </c>
      <c r="F3" s="90" t="s">
        <v>162</v>
      </c>
      <c r="G3" s="90" t="s">
        <v>163</v>
      </c>
      <c r="H3" s="90" t="s">
        <v>164</v>
      </c>
      <c r="I3" s="90" t="s">
        <v>165</v>
      </c>
      <c r="J3" s="90" t="s">
        <v>166</v>
      </c>
      <c r="K3" s="258" t="s">
        <v>167</v>
      </c>
    </row>
    <row r="4" ht="24" spans="1:11">
      <c r="A4" s="244"/>
      <c r="B4" s="245"/>
      <c r="C4" s="245"/>
      <c r="D4" s="322" t="s">
        <v>168</v>
      </c>
      <c r="E4" s="322" t="s">
        <v>169</v>
      </c>
      <c r="F4" s="322" t="s">
        <v>170</v>
      </c>
      <c r="G4" s="322" t="s">
        <v>171</v>
      </c>
      <c r="H4" s="322" t="s">
        <v>172</v>
      </c>
      <c r="I4" s="322" t="s">
        <v>173</v>
      </c>
      <c r="J4" s="322" t="s">
        <v>174</v>
      </c>
      <c r="K4" s="323" t="s">
        <v>175</v>
      </c>
    </row>
    <row r="5" spans="1:11">
      <c r="A5" s="244"/>
      <c r="B5" s="246" t="str">
        <f>数据对照表!A2</f>
        <v>普通住宅</v>
      </c>
      <c r="C5" s="247">
        <v>1</v>
      </c>
      <c r="D5" s="248">
        <f>SUMIFS('附表6-收入明细采集底稿'!P:P,'附表6-收入明细采集底稿'!G:G,数据对照表!A2)</f>
        <v>0</v>
      </c>
      <c r="E5" s="248">
        <f>SUMIFS('附表6-收入明细采集底稿'!P:P,'附表6-收入明细采集底稿'!G:G,数据对照表!A2,'附表6-收入明细采集底稿'!H:H,"不可售")</f>
        <v>0</v>
      </c>
      <c r="F5" s="248">
        <f>SUM(SUMIFS('附表6-收入明细采集底稿'!P:P,'附表6-收入明细采集底稿'!G:G,数据对照表!A2,'附表6-收入明细采集底稿'!H:H,"已售"),SUMIFS('附表6-收入明细采集底稿'!P:P,'附表6-收入明细采集底稿'!G:G,数据对照表!A2,'附表6-收入明细采集底稿'!H:H,"出租"),SUMIFS('附表6-收入明细采集底稿'!P:P,'附表6-收入明细采集底稿'!G:G,数据对照表!A2,'附表6-收入明细采集底稿'!H:H,"自用"),SUMIFS('附表6-收入明细采集底稿'!P:P,'附表6-收入明细采集底稿'!G:G,数据对照表!A2,'附表6-收入明细采集底稿'!H:H,"未售"))</f>
        <v>0</v>
      </c>
      <c r="G5" s="248">
        <f>SUMIFS('附表6-收入明细采集底稿'!P:P,'附表6-收入明细采集底稿'!G:G,数据对照表!A2,'附表6-收入明细采集底稿'!H:H,"已售")</f>
        <v>0</v>
      </c>
      <c r="H5" s="248">
        <f t="shared" ref="H5:H11" si="0">F5-G5</f>
        <v>0</v>
      </c>
      <c r="I5" s="248">
        <f>SUMIFS('附表6-收入明细采集底稿'!P:P,'附表6-收入明细采集底稿'!G:G,数据对照表!A2,'附表6-收入明细采集底稿'!H:H,"自用")</f>
        <v>0</v>
      </c>
      <c r="J5" s="248">
        <f>SUMIFS('附表6-收入明细采集底稿'!P:P,'附表6-收入明细采集底稿'!G:G,数据对照表!A2,'附表6-收入明细采集底稿'!H:H,"出租")</f>
        <v>0</v>
      </c>
      <c r="K5" s="260"/>
    </row>
    <row r="6" spans="1:11">
      <c r="A6" s="244"/>
      <c r="B6" s="246" t="str">
        <f>数据对照表!A3</f>
        <v>非普通住宅</v>
      </c>
      <c r="C6" s="247">
        <v>2</v>
      </c>
      <c r="D6" s="248">
        <f>SUMIFS('附表6-收入明细采集底稿'!P:P,'附表6-收入明细采集底稿'!G:G,数据对照表!A3)</f>
        <v>0</v>
      </c>
      <c r="E6" s="248">
        <f>SUMIFS('附表6-收入明细采集底稿'!P:P,'附表6-收入明细采集底稿'!G:G,数据对照表!A3,'附表6-收入明细采集底稿'!H:H,"不可售")</f>
        <v>0</v>
      </c>
      <c r="F6" s="248">
        <f>SUM(SUMIFS('附表6-收入明细采集底稿'!P:P,'附表6-收入明细采集底稿'!G:G,数据对照表!A3,'附表6-收入明细采集底稿'!H:H,"已售"),SUMIFS('附表6-收入明细采集底稿'!P:P,'附表6-收入明细采集底稿'!G:G,数据对照表!A3,'附表6-收入明细采集底稿'!H:H,"出租"),SUMIFS('附表6-收入明细采集底稿'!P:P,'附表6-收入明细采集底稿'!G:G,数据对照表!A3,'附表6-收入明细采集底稿'!H:H,"自用"),SUMIFS('附表6-收入明细采集底稿'!P:P,'附表6-收入明细采集底稿'!G:G,数据对照表!A3,'附表6-收入明细采集底稿'!H:H,"未售"))</f>
        <v>0</v>
      </c>
      <c r="G6" s="248">
        <f>SUMIFS('附表6-收入明细采集底稿'!P:P,'附表6-收入明细采集底稿'!G:G,数据对照表!A3,'附表6-收入明细采集底稿'!H:H,"已售")</f>
        <v>0</v>
      </c>
      <c r="H6" s="248">
        <f t="shared" si="0"/>
        <v>0</v>
      </c>
      <c r="I6" s="248">
        <f>SUMIFS('附表6-收入明细采集底稿'!P:P,'附表6-收入明细采集底稿'!G:G,数据对照表!A3,'附表6-收入明细采集底稿'!H:H,"自用")</f>
        <v>0</v>
      </c>
      <c r="J6" s="248">
        <f>SUMIFS('附表6-收入明细采集底稿'!P:P,'附表6-收入明细采集底稿'!G:G,数据对照表!A3,'附表6-收入明细采集底稿'!H:H,"出租")</f>
        <v>0</v>
      </c>
      <c r="K6" s="260"/>
    </row>
    <row r="7" spans="1:11">
      <c r="A7" s="244"/>
      <c r="B7" s="246" t="s">
        <v>102</v>
      </c>
      <c r="C7" s="247">
        <v>3</v>
      </c>
      <c r="D7" s="248">
        <f>SUM(D8:D12)</f>
        <v>0</v>
      </c>
      <c r="E7" s="248">
        <f t="shared" ref="E7:J7" si="1">SUM(E8:E12)</f>
        <v>0</v>
      </c>
      <c r="F7" s="248">
        <f t="shared" si="1"/>
        <v>0</v>
      </c>
      <c r="G7" s="248">
        <f t="shared" si="1"/>
        <v>0</v>
      </c>
      <c r="H7" s="248">
        <f t="shared" si="1"/>
        <v>0</v>
      </c>
      <c r="I7" s="248">
        <f t="shared" si="1"/>
        <v>0</v>
      </c>
      <c r="J7" s="248">
        <f t="shared" si="1"/>
        <v>0</v>
      </c>
      <c r="K7" s="260"/>
    </row>
    <row r="8" spans="1:11">
      <c r="A8" s="244"/>
      <c r="B8" s="249" t="str">
        <f>"其中："&amp;数据对照表!A4</f>
        <v>其中：商业用房</v>
      </c>
      <c r="C8" s="247">
        <v>4</v>
      </c>
      <c r="D8" s="248">
        <f>SUMIFS('附表6-收入明细采集底稿'!P:P,'附表6-收入明细采集底稿'!G:G,数据对照表!A4)</f>
        <v>0</v>
      </c>
      <c r="E8" s="248">
        <f>SUMIFS('附表6-收入明细采集底稿'!P:P,'附表6-收入明细采集底稿'!G:G,数据对照表!A4,'附表6-收入明细采集底稿'!H:H,"不可售")</f>
        <v>0</v>
      </c>
      <c r="F8" s="248">
        <f>SUM(SUMIFS('附表6-收入明细采集底稿'!P:P,'附表6-收入明细采集底稿'!G:G,数据对照表!A4,'附表6-收入明细采集底稿'!H:H,"已售"),SUMIFS('附表6-收入明细采集底稿'!P:P,'附表6-收入明细采集底稿'!G:G,数据对照表!A4,'附表6-收入明细采集底稿'!H:H,"出租"),SUMIFS('附表6-收入明细采集底稿'!P:P,'附表6-收入明细采集底稿'!G:G,数据对照表!A4,'附表6-收入明细采集底稿'!H:H,"自用"),SUMIFS('附表6-收入明细采集底稿'!P:P,'附表6-收入明细采集底稿'!G:G,数据对照表!A4,'附表6-收入明细采集底稿'!H:H,"未售"))</f>
        <v>0</v>
      </c>
      <c r="G8" s="248">
        <f>SUMIFS('附表6-收入明细采集底稿'!P:P,'附表6-收入明细采集底稿'!G:G,数据对照表!A4,'附表6-收入明细采集底稿'!H:H,"已售")</f>
        <v>0</v>
      </c>
      <c r="H8" s="248">
        <f t="shared" si="0"/>
        <v>0</v>
      </c>
      <c r="I8" s="248">
        <f>SUMIFS('附表6-收入明细采集底稿'!P:P,'附表6-收入明细采集底稿'!G:G,数据对照表!A4,'附表6-收入明细采集底稿'!H:H,"自用")</f>
        <v>0</v>
      </c>
      <c r="J8" s="248">
        <f>SUMIFS('附表6-收入明细采集底稿'!P:P,'附表6-收入明细采集底稿'!G:G,数据对照表!A4,'附表6-收入明细采集底稿'!H:H,"出租")</f>
        <v>0</v>
      </c>
      <c r="K8" s="260"/>
    </row>
    <row r="9" spans="1:11">
      <c r="A9" s="244"/>
      <c r="B9" s="249" t="str">
        <f>"      "&amp;数据对照表!A5</f>
        <v>      办公用房</v>
      </c>
      <c r="C9" s="247">
        <v>5</v>
      </c>
      <c r="D9" s="248">
        <f>SUMIFS('附表6-收入明细采集底稿'!P:P,'附表6-收入明细采集底稿'!G:G,数据对照表!A5)</f>
        <v>0</v>
      </c>
      <c r="E9" s="248">
        <f>SUMIFS('附表6-收入明细采集底稿'!P:P,'附表6-收入明细采集底稿'!G:G,数据对照表!A5,'附表6-收入明细采集底稿'!H:H,"不可售")</f>
        <v>0</v>
      </c>
      <c r="F9" s="248">
        <f>SUM(SUMIFS('附表6-收入明细采集底稿'!P:P,'附表6-收入明细采集底稿'!G:G,数据对照表!A5,'附表6-收入明细采集底稿'!H:H,"已售"),SUMIFS('附表6-收入明细采集底稿'!P:P,'附表6-收入明细采集底稿'!G:G,数据对照表!A5,'附表6-收入明细采集底稿'!H:H,"出租"),SUMIFS('附表6-收入明细采集底稿'!P:P,'附表6-收入明细采集底稿'!G:G,数据对照表!A5,'附表6-收入明细采集底稿'!H:H,"自用"),SUMIFS('附表6-收入明细采集底稿'!P:P,'附表6-收入明细采集底稿'!G:G,数据对照表!A5,'附表6-收入明细采集底稿'!H:H,"未售"))</f>
        <v>0</v>
      </c>
      <c r="G9" s="248">
        <f>SUMIFS('附表6-收入明细采集底稿'!P:P,'附表6-收入明细采集底稿'!G:G,数据对照表!A5,'附表6-收入明细采集底稿'!H:H,"已售")</f>
        <v>0</v>
      </c>
      <c r="H9" s="248">
        <f t="shared" si="0"/>
        <v>0</v>
      </c>
      <c r="I9" s="248">
        <f>SUMIFS('附表6-收入明细采集底稿'!P:P,'附表6-收入明细采集底稿'!G:G,数据对照表!A5,'附表6-收入明细采集底稿'!H:H,"自用")</f>
        <v>0</v>
      </c>
      <c r="J9" s="248">
        <f>SUMIFS('附表6-收入明细采集底稿'!P:P,'附表6-收入明细采集底稿'!G:G,数据对照表!A5,'附表6-收入明细采集底稿'!H:H,"出租")</f>
        <v>0</v>
      </c>
      <c r="K9" s="260"/>
    </row>
    <row r="10" spans="1:11">
      <c r="A10" s="244"/>
      <c r="B10" s="249" t="str">
        <f>"      "&amp;数据对照表!A6</f>
        <v>      车位车库</v>
      </c>
      <c r="C10" s="247">
        <v>6</v>
      </c>
      <c r="D10" s="248">
        <f>SUMIFS('附表6-收入明细采集底稿'!P:P,'附表6-收入明细采集底稿'!G:G,数据对照表!A6)</f>
        <v>0</v>
      </c>
      <c r="E10" s="248">
        <f>SUMIFS('附表6-收入明细采集底稿'!P:P,'附表6-收入明细采集底稿'!G:G,数据对照表!A6,'附表6-收入明细采集底稿'!H:H,"不可售")</f>
        <v>0</v>
      </c>
      <c r="F10" s="248">
        <f>SUM(SUMIFS('附表6-收入明细采集底稿'!P:P,'附表6-收入明细采集底稿'!G:G,数据对照表!A6,'附表6-收入明细采集底稿'!H:H,"已售"),SUMIFS('附表6-收入明细采集底稿'!P:P,'附表6-收入明细采集底稿'!G:G,数据对照表!A6,'附表6-收入明细采集底稿'!H:H,"出租"),SUMIFS('附表6-收入明细采集底稿'!P:P,'附表6-收入明细采集底稿'!G:G,数据对照表!A6,'附表6-收入明细采集底稿'!H:H,"自用"),SUMIFS('附表6-收入明细采集底稿'!P:P,'附表6-收入明细采集底稿'!G:G,数据对照表!A6,'附表6-收入明细采集底稿'!H:H,"未售"))</f>
        <v>0</v>
      </c>
      <c r="G10" s="248">
        <f>SUMIFS('附表6-收入明细采集底稿'!P:P,'附表6-收入明细采集底稿'!G:G,数据对照表!A6,'附表6-收入明细采集底稿'!H:H,"已售")</f>
        <v>0</v>
      </c>
      <c r="H10" s="248">
        <f t="shared" si="0"/>
        <v>0</v>
      </c>
      <c r="I10" s="248">
        <f>SUMIFS('附表6-收入明细采集底稿'!P:P,'附表6-收入明细采集底稿'!G:G,数据对照表!A6,'附表6-收入明细采集底稿'!H:H,"自用")</f>
        <v>0</v>
      </c>
      <c r="J10" s="248">
        <f>SUMIFS('附表6-收入明细采集底稿'!P:P,'附表6-收入明细采集底稿'!G:G,数据对照表!A6,'附表6-收入明细采集底稿'!H:H,"出租")</f>
        <v>0</v>
      </c>
      <c r="K10" s="260"/>
    </row>
    <row r="11" spans="1:11">
      <c r="A11" s="244"/>
      <c r="B11" s="249" t="str">
        <f>"      "&amp;数据对照表!A7</f>
        <v>      其他营业性房产</v>
      </c>
      <c r="C11" s="247">
        <v>7</v>
      </c>
      <c r="D11" s="248">
        <f>SUMIFS('附表6-收入明细采集底稿'!P:P,'附表6-收入明细采集底稿'!G:G,数据对照表!A7)</f>
        <v>0</v>
      </c>
      <c r="E11" s="248">
        <f>SUMIFS('附表6-收入明细采集底稿'!P:P,'附表6-收入明细采集底稿'!G:G,数据对照表!A7,'附表6-收入明细采集底稿'!H:H,"不可售")</f>
        <v>0</v>
      </c>
      <c r="F11" s="248">
        <f>SUM(SUMIFS('附表6-收入明细采集底稿'!P:P,'附表6-收入明细采集底稿'!G:G,数据对照表!A7,'附表6-收入明细采集底稿'!H:H,"已售"),SUMIFS('附表6-收入明细采集底稿'!P:P,'附表6-收入明细采集底稿'!G:G,数据对照表!A7,'附表6-收入明细采集底稿'!H:H,"出租"),SUMIFS('附表6-收入明细采集底稿'!P:P,'附表6-收入明细采集底稿'!G:G,数据对照表!A7,'附表6-收入明细采集底稿'!H:H,"自用"),SUMIFS('附表6-收入明细采集底稿'!P:P,'附表6-收入明细采集底稿'!G:G,数据对照表!A7,'附表6-收入明细采集底稿'!H:H,"未售"))</f>
        <v>0</v>
      </c>
      <c r="G11" s="248">
        <f>SUMIFS('附表6-收入明细采集底稿'!P:P,'附表6-收入明细采集底稿'!G:G,数据对照表!A7,'附表6-收入明细采集底稿'!H:H,"已售")</f>
        <v>0</v>
      </c>
      <c r="H11" s="248">
        <f t="shared" si="0"/>
        <v>0</v>
      </c>
      <c r="I11" s="248">
        <f>SUMIFS('附表6-收入明细采集底稿'!P:P,'附表6-收入明细采集底稿'!G:G,数据对照表!A7,'附表6-收入明细采集底稿'!H:H,"自用")</f>
        <v>0</v>
      </c>
      <c r="J11" s="248">
        <f>SUMIFS('附表6-收入明细采集底稿'!P:P,'附表6-收入明细采集底稿'!G:G,数据对照表!A7,'附表6-收入明细采集底稿'!H:H,"出租")</f>
        <v>0</v>
      </c>
      <c r="K11" s="260"/>
    </row>
    <row r="12" spans="1:11">
      <c r="A12" s="244"/>
      <c r="B12" s="249" t="str">
        <f>"      "&amp;"非营业性房产"</f>
        <v>      非营业性房产</v>
      </c>
      <c r="C12" s="247">
        <v>8</v>
      </c>
      <c r="D12" s="248">
        <f>SUM(D13:D28)</f>
        <v>0</v>
      </c>
      <c r="E12" s="248">
        <f t="shared" ref="E12:J12" si="2">SUM(E13:E28)</f>
        <v>0</v>
      </c>
      <c r="F12" s="248">
        <f t="shared" si="2"/>
        <v>0</v>
      </c>
      <c r="G12" s="248">
        <f t="shared" si="2"/>
        <v>0</v>
      </c>
      <c r="H12" s="248">
        <f t="shared" si="2"/>
        <v>0</v>
      </c>
      <c r="I12" s="248">
        <f t="shared" si="2"/>
        <v>0</v>
      </c>
      <c r="J12" s="248">
        <f t="shared" si="2"/>
        <v>0</v>
      </c>
      <c r="K12" s="260"/>
    </row>
    <row r="13" spans="1:11">
      <c r="A13" s="244"/>
      <c r="B13" s="250" t="str">
        <f>"      其中："&amp;数据对照表!A8</f>
        <v>      其中：居委会用房</v>
      </c>
      <c r="C13" s="247">
        <v>9</v>
      </c>
      <c r="D13" s="248">
        <f>SUMIFS('附表6-收入明细采集底稿'!P:P,'附表6-收入明细采集底稿'!G:G,数据对照表!A8)</f>
        <v>0</v>
      </c>
      <c r="E13" s="248">
        <f>SUMIFS('附表6-收入明细采集底稿'!P:P,'附表6-收入明细采集底稿'!G:G,数据对照表!A8,'附表6-收入明细采集底稿'!H:H,"不可售")</f>
        <v>0</v>
      </c>
      <c r="F13" s="248">
        <f>SUM(SUMIFS('附表6-收入明细采集底稿'!P:P,'附表6-收入明细采集底稿'!G:G,数据对照表!A8,'附表6-收入明细采集底稿'!H:H,"已售"),SUMIFS('附表6-收入明细采集底稿'!P:P,'附表6-收入明细采集底稿'!G:G,数据对照表!A8,'附表6-收入明细采集底稿'!H:H,"出租"),SUMIFS('附表6-收入明细采集底稿'!P:P,'附表6-收入明细采集底稿'!G:G,数据对照表!A8,'附表6-收入明细采集底稿'!H:H,"自用"),SUMIFS('附表6-收入明细采集底稿'!P:P,'附表6-收入明细采集底稿'!G:G,数据对照表!A8,'附表6-收入明细采集底稿'!H:H,"未售"))</f>
        <v>0</v>
      </c>
      <c r="G13" s="248">
        <f>SUMIFS('附表6-收入明细采集底稿'!P:P,'附表6-收入明细采集底稿'!G:G,数据对照表!A8,'附表6-收入明细采集底稿'!H:H,"已售")</f>
        <v>0</v>
      </c>
      <c r="H13" s="248">
        <f t="shared" ref="H13:H17" si="3">F13-G13</f>
        <v>0</v>
      </c>
      <c r="I13" s="248">
        <f>SUMIFS('附表6-收入明细采集底稿'!P:P,'附表6-收入明细采集底稿'!G:G,数据对照表!A8,'附表6-收入明细采集底稿'!H:H,"自用")</f>
        <v>0</v>
      </c>
      <c r="J13" s="248">
        <f>SUMIFS('附表6-收入明细采集底稿'!P:P,'附表6-收入明细采集底稿'!G:G,数据对照表!A8,'附表6-收入明细采集底稿'!H:H,"出租")</f>
        <v>0</v>
      </c>
      <c r="K13" s="260"/>
    </row>
    <row r="14" spans="1:11">
      <c r="A14" s="244"/>
      <c r="B14" s="250" t="str">
        <f>"            "&amp;数据对照表!A9</f>
        <v>            派出所用房</v>
      </c>
      <c r="C14" s="247">
        <v>10</v>
      </c>
      <c r="D14" s="248">
        <f>SUMIFS('附表6-收入明细采集底稿'!P:P,'附表6-收入明细采集底稿'!G:G,数据对照表!A9)</f>
        <v>0</v>
      </c>
      <c r="E14" s="248">
        <f>SUMIFS('附表6-收入明细采集底稿'!P:P,'附表6-收入明细采集底稿'!G:G,数据对照表!A9,'附表6-收入明细采集底稿'!H:H,"不可售")</f>
        <v>0</v>
      </c>
      <c r="F14" s="248">
        <f>SUM(SUMIFS('附表6-收入明细采集底稿'!P:P,'附表6-收入明细采集底稿'!G:G,数据对照表!A9,'附表6-收入明细采集底稿'!H:H,"已售"),SUMIFS('附表6-收入明细采集底稿'!P:P,'附表6-收入明细采集底稿'!G:G,数据对照表!A9,'附表6-收入明细采集底稿'!H:H,"出租"),SUMIFS('附表6-收入明细采集底稿'!P:P,'附表6-收入明细采集底稿'!G:G,数据对照表!A9,'附表6-收入明细采集底稿'!H:H,"自用"),SUMIFS('附表6-收入明细采集底稿'!P:P,'附表6-收入明细采集底稿'!G:G,数据对照表!A9,'附表6-收入明细采集底稿'!H:H,"未售"))</f>
        <v>0</v>
      </c>
      <c r="G14" s="248">
        <f>SUMIFS('附表6-收入明细采集底稿'!P:P,'附表6-收入明细采集底稿'!G:G,数据对照表!A9,'附表6-收入明细采集底稿'!H:H,"已售")</f>
        <v>0</v>
      </c>
      <c r="H14" s="248">
        <f t="shared" si="3"/>
        <v>0</v>
      </c>
      <c r="I14" s="248">
        <f>SUMIFS('附表6-收入明细采集底稿'!P:P,'附表6-收入明细采集底稿'!G:G,数据对照表!A9,'附表6-收入明细采集底稿'!H:H,"自用")</f>
        <v>0</v>
      </c>
      <c r="J14" s="248">
        <f>SUMIFS('附表6-收入明细采集底稿'!P:P,'附表6-收入明细采集底稿'!G:G,数据对照表!A9,'附表6-收入明细采集底稿'!H:H,"出租")</f>
        <v>0</v>
      </c>
      <c r="K14" s="260"/>
    </row>
    <row r="15" spans="1:11">
      <c r="A15" s="244"/>
      <c r="B15" s="250" t="str">
        <f>"            "&amp;数据对照表!A10</f>
        <v>            会所</v>
      </c>
      <c r="C15" s="247">
        <v>11</v>
      </c>
      <c r="D15" s="248">
        <f>SUMIFS('附表6-收入明细采集底稿'!P:P,'附表6-收入明细采集底稿'!G:G,数据对照表!A10)</f>
        <v>0</v>
      </c>
      <c r="E15" s="248">
        <f>SUMIFS('附表6-收入明细采集底稿'!P:P,'附表6-收入明细采集底稿'!G:G,数据对照表!A10,'附表6-收入明细采集底稿'!H:H,"不可售")</f>
        <v>0</v>
      </c>
      <c r="F15" s="248">
        <f>SUM(SUMIFS('附表6-收入明细采集底稿'!P:P,'附表6-收入明细采集底稿'!G:G,数据对照表!A10,'附表6-收入明细采集底稿'!H:H,"已售"),SUMIFS('附表6-收入明细采集底稿'!P:P,'附表6-收入明细采集底稿'!G:G,数据对照表!A10,'附表6-收入明细采集底稿'!H:H,"出租"),SUMIFS('附表6-收入明细采集底稿'!P:P,'附表6-收入明细采集底稿'!G:G,数据对照表!A10,'附表6-收入明细采集底稿'!H:H,"自用"),SUMIFS('附表6-收入明细采集底稿'!P:P,'附表6-收入明细采集底稿'!G:G,数据对照表!A10,'附表6-收入明细采集底稿'!H:H,"未售"))</f>
        <v>0</v>
      </c>
      <c r="G15" s="248">
        <f>SUMIFS('附表6-收入明细采集底稿'!P:P,'附表6-收入明细采集底稿'!G:G,数据对照表!A10,'附表6-收入明细采集底稿'!H:H,"已售")</f>
        <v>0</v>
      </c>
      <c r="H15" s="248">
        <f t="shared" si="3"/>
        <v>0</v>
      </c>
      <c r="I15" s="248">
        <f>SUMIFS('附表6-收入明细采集底稿'!P:P,'附表6-收入明细采集底稿'!G:G,数据对照表!A10,'附表6-收入明细采集底稿'!H:H,"自用")</f>
        <v>0</v>
      </c>
      <c r="J15" s="248">
        <f>SUMIFS('附表6-收入明细采集底稿'!P:P,'附表6-收入明细采集底稿'!G:G,数据对照表!A10,'附表6-收入明细采集底稿'!H:H,"出租")</f>
        <v>0</v>
      </c>
      <c r="K15" s="260"/>
    </row>
    <row r="16" spans="1:11">
      <c r="A16" s="244"/>
      <c r="B16" s="250" t="str">
        <f>"            "&amp;数据对照表!A11</f>
        <v>            非机动车库（场）</v>
      </c>
      <c r="C16" s="247">
        <v>12</v>
      </c>
      <c r="D16" s="248">
        <f>SUMIFS('附表6-收入明细采集底稿'!P:P,'附表6-收入明细采集底稿'!G:G,数据对照表!A11)</f>
        <v>0</v>
      </c>
      <c r="E16" s="248">
        <f>SUMIFS('附表6-收入明细采集底稿'!P:P,'附表6-收入明细采集底稿'!G:G,数据对照表!A11,'附表6-收入明细采集底稿'!H:H,"不可售")</f>
        <v>0</v>
      </c>
      <c r="F16" s="248">
        <f>SUM(SUMIFS('附表6-收入明细采集底稿'!P:P,'附表6-收入明细采集底稿'!G:G,数据对照表!A11,'附表6-收入明细采集底稿'!H:H,"已售"),SUMIFS('附表6-收入明细采集底稿'!P:P,'附表6-收入明细采集底稿'!G:G,数据对照表!A11,'附表6-收入明细采集底稿'!H:H,"出租"),SUMIFS('附表6-收入明细采集底稿'!P:P,'附表6-收入明细采集底稿'!G:G,数据对照表!A11,'附表6-收入明细采集底稿'!H:H,"自用"),SUMIFS('附表6-收入明细采集底稿'!P:P,'附表6-收入明细采集底稿'!G:G,数据对照表!A11,'附表6-收入明细采集底稿'!H:H,"未售"))</f>
        <v>0</v>
      </c>
      <c r="G16" s="248">
        <f>SUMIFS('附表6-收入明细采集底稿'!P:P,'附表6-收入明细采集底稿'!G:G,数据对照表!A11,'附表6-收入明细采集底稿'!H:H,"已售")</f>
        <v>0</v>
      </c>
      <c r="H16" s="248">
        <f t="shared" si="3"/>
        <v>0</v>
      </c>
      <c r="I16" s="248">
        <f>SUMIFS('附表6-收入明细采集底稿'!P:P,'附表6-收入明细采集底稿'!G:G,数据对照表!A11,'附表6-收入明细采集底稿'!H:H,"自用")</f>
        <v>0</v>
      </c>
      <c r="J16" s="248">
        <f>SUMIFS('附表6-收入明细采集底稿'!P:P,'附表6-收入明细采集底稿'!G:G,数据对照表!A11,'附表6-收入明细采集底稿'!H:H,"出租")</f>
        <v>0</v>
      </c>
      <c r="K16" s="260"/>
    </row>
    <row r="17" spans="1:11">
      <c r="A17" s="244"/>
      <c r="B17" s="250" t="str">
        <f>"            "&amp;数据对照表!A12</f>
        <v>            地下人防设施</v>
      </c>
      <c r="C17" s="247">
        <v>13</v>
      </c>
      <c r="D17" s="248">
        <f>SUMIFS('附表6-收入明细采集底稿'!P:P,'附表6-收入明细采集底稿'!G:G,数据对照表!A12)</f>
        <v>0</v>
      </c>
      <c r="E17" s="248">
        <f>SUMIFS('附表6-收入明细采集底稿'!P:P,'附表6-收入明细采集底稿'!G:G,数据对照表!A12,'附表6-收入明细采集底稿'!H:H,"不可售")</f>
        <v>0</v>
      </c>
      <c r="F17" s="248">
        <f>SUM(SUMIFS('附表6-收入明细采集底稿'!P:P,'附表6-收入明细采集底稿'!G:G,数据对照表!A12,'附表6-收入明细采集底稿'!H:H,"已售"),SUMIFS('附表6-收入明细采集底稿'!P:P,'附表6-收入明细采集底稿'!G:G,数据对照表!A12,'附表6-收入明细采集底稿'!H:H,"出租"),SUMIFS('附表6-收入明细采集底稿'!P:P,'附表6-收入明细采集底稿'!G:G,数据对照表!A12,'附表6-收入明细采集底稿'!H:H,"自用"),SUMIFS('附表6-收入明细采集底稿'!P:P,'附表6-收入明细采集底稿'!G:G,数据对照表!A12,'附表6-收入明细采集底稿'!H:H,"未售"))</f>
        <v>0</v>
      </c>
      <c r="G17" s="248">
        <f>SUMIFS('附表6-收入明细采集底稿'!P:P,'附表6-收入明细采集底稿'!G:G,数据对照表!A12,'附表6-收入明细采集底稿'!H:H,"已售")</f>
        <v>0</v>
      </c>
      <c r="H17" s="248">
        <f t="shared" si="3"/>
        <v>0</v>
      </c>
      <c r="I17" s="248">
        <f>SUMIFS('附表6-收入明细采集底稿'!P:P,'附表6-收入明细采集底稿'!G:G,数据对照表!A12,'附表6-收入明细采集底稿'!H:H,"自用")</f>
        <v>0</v>
      </c>
      <c r="J17" s="248">
        <f>SUMIFS('附表6-收入明细采集底稿'!P:P,'附表6-收入明细采集底稿'!G:G,数据对照表!A12,'附表6-收入明细采集底稿'!H:H,"出租")</f>
        <v>0</v>
      </c>
      <c r="K17" s="260"/>
    </row>
    <row r="18" spans="1:11">
      <c r="A18" s="244"/>
      <c r="B18" s="250" t="str">
        <f>"            "&amp;数据对照表!A13</f>
        <v>            物业管理场所</v>
      </c>
      <c r="C18" s="247">
        <v>14</v>
      </c>
      <c r="D18" s="248">
        <f>SUMIFS('附表6-收入明细采集底稿'!P:P,'附表6-收入明细采集底稿'!G:G,数据对照表!A13)</f>
        <v>0</v>
      </c>
      <c r="E18" s="248">
        <f>SUMIFS('附表6-收入明细采集底稿'!P:P,'附表6-收入明细采集底稿'!G:G,数据对照表!A13,'附表6-收入明细采集底稿'!H:H,"不可售")</f>
        <v>0</v>
      </c>
      <c r="F18" s="248">
        <f>SUM(SUMIFS('附表6-收入明细采集底稿'!P:P,'附表6-收入明细采集底稿'!G:G,数据对照表!A13,'附表6-收入明细采集底稿'!H:H,"已售"),SUMIFS('附表6-收入明细采集底稿'!P:P,'附表6-收入明细采集底稿'!G:G,数据对照表!A13,'附表6-收入明细采集底稿'!H:H,"出租"),SUMIFS('附表6-收入明细采集底稿'!P:P,'附表6-收入明细采集底稿'!G:G,数据对照表!A13,'附表6-收入明细采集底稿'!H:H,"自用"),SUMIFS('附表6-收入明细采集底稿'!P:P,'附表6-收入明细采集底稿'!G:G,数据对照表!A13,'附表6-收入明细采集底稿'!H:H,"未售"))</f>
        <v>0</v>
      </c>
      <c r="G18" s="248">
        <f>SUMIFS('附表6-收入明细采集底稿'!P:P,'附表6-收入明细采集底稿'!G:G,数据对照表!A13,'附表6-收入明细采集底稿'!H:H,"已售")</f>
        <v>0</v>
      </c>
      <c r="H18" s="248">
        <f t="shared" ref="H18:H28" si="4">F18-G18</f>
        <v>0</v>
      </c>
      <c r="I18" s="248">
        <f>SUMIFS('附表6-收入明细采集底稿'!P:P,'附表6-收入明细采集底稿'!G:G,数据对照表!A13,'附表6-收入明细采集底稿'!H:H,"自用")</f>
        <v>0</v>
      </c>
      <c r="J18" s="248">
        <f>SUMIFS('附表6-收入明细采集底稿'!P:P,'附表6-收入明细采集底稿'!G:G,数据对照表!A13,'附表6-收入明细采集底稿'!H:H,"出租")</f>
        <v>0</v>
      </c>
      <c r="K18" s="260"/>
    </row>
    <row r="19" spans="1:11">
      <c r="A19" s="244"/>
      <c r="B19" s="250" t="str">
        <f>"            "&amp;数据对照表!A14</f>
        <v>            变电站</v>
      </c>
      <c r="C19" s="247">
        <v>15</v>
      </c>
      <c r="D19" s="248">
        <f>SUMIFS('附表6-收入明细采集底稿'!P:P,'附表6-收入明细采集底稿'!G:G,数据对照表!A14)</f>
        <v>0</v>
      </c>
      <c r="E19" s="248">
        <f>SUMIFS('附表6-收入明细采集底稿'!P:P,'附表6-收入明细采集底稿'!G:G,数据对照表!A14,'附表6-收入明细采集底稿'!H:H,"不可售")</f>
        <v>0</v>
      </c>
      <c r="F19" s="248">
        <f>SUM(SUMIFS('附表6-收入明细采集底稿'!P:P,'附表6-收入明细采集底稿'!G:G,数据对照表!A14,'附表6-收入明细采集底稿'!H:H,"已售"),SUMIFS('附表6-收入明细采集底稿'!P:P,'附表6-收入明细采集底稿'!G:G,数据对照表!A14,'附表6-收入明细采集底稿'!H:H,"出租"),SUMIFS('附表6-收入明细采集底稿'!P:P,'附表6-收入明细采集底稿'!G:G,数据对照表!A14,'附表6-收入明细采集底稿'!H:H,"自用"),SUMIFS('附表6-收入明细采集底稿'!P:P,'附表6-收入明细采集底稿'!G:G,数据对照表!A14,'附表6-收入明细采集底稿'!H:H,"未售"))</f>
        <v>0</v>
      </c>
      <c r="G19" s="248">
        <f>SUMIFS('附表6-收入明细采集底稿'!P:P,'附表6-收入明细采集底稿'!G:G,数据对照表!A14,'附表6-收入明细采集底稿'!H:H,"已售")</f>
        <v>0</v>
      </c>
      <c r="H19" s="248">
        <f t="shared" si="4"/>
        <v>0</v>
      </c>
      <c r="I19" s="248">
        <f>SUMIFS('附表6-收入明细采集底稿'!P:P,'附表6-收入明细采集底稿'!G:G,数据对照表!A14,'附表6-收入明细采集底稿'!H:H,"自用")</f>
        <v>0</v>
      </c>
      <c r="J19" s="248">
        <f>SUMIFS('附表6-收入明细采集底稿'!P:P,'附表6-收入明细采集底稿'!G:G,数据对照表!A14,'附表6-收入明细采集底稿'!H:H,"出租")</f>
        <v>0</v>
      </c>
      <c r="K19" s="260"/>
    </row>
    <row r="20" spans="1:11">
      <c r="A20" s="244"/>
      <c r="B20" s="250" t="str">
        <f>"            "&amp;数据对照表!A15</f>
        <v>            热力站</v>
      </c>
      <c r="C20" s="247">
        <v>16</v>
      </c>
      <c r="D20" s="248">
        <f>SUMIFS('附表6-收入明细采集底稿'!P:P,'附表6-收入明细采集底稿'!G:G,数据对照表!A15)</f>
        <v>0</v>
      </c>
      <c r="E20" s="248">
        <f>SUMIFS('附表6-收入明细采集底稿'!P:P,'附表6-收入明细采集底稿'!G:G,数据对照表!A15,'附表6-收入明细采集底稿'!H:H,"不可售")</f>
        <v>0</v>
      </c>
      <c r="F20" s="248">
        <f>SUM(SUMIFS('附表6-收入明细采集底稿'!P:P,'附表6-收入明细采集底稿'!G:G,数据对照表!A15,'附表6-收入明细采集底稿'!H:H,"已售"),SUMIFS('附表6-收入明细采集底稿'!P:P,'附表6-收入明细采集底稿'!G:G,数据对照表!A15,'附表6-收入明细采集底稿'!H:H,"出租"),SUMIFS('附表6-收入明细采集底稿'!P:P,'附表6-收入明细采集底稿'!G:G,数据对照表!A15,'附表6-收入明细采集底稿'!H:H,"自用"),SUMIFS('附表6-收入明细采集底稿'!P:P,'附表6-收入明细采集底稿'!G:G,数据对照表!A15,'附表6-收入明细采集底稿'!H:H,"未售"))</f>
        <v>0</v>
      </c>
      <c r="G20" s="248">
        <f>SUMIFS('附表6-收入明细采集底稿'!P:P,'附表6-收入明细采集底稿'!G:G,数据对照表!A15,'附表6-收入明细采集底稿'!H:H,"已售")</f>
        <v>0</v>
      </c>
      <c r="H20" s="248">
        <f t="shared" si="4"/>
        <v>0</v>
      </c>
      <c r="I20" s="248">
        <f>SUMIFS('附表6-收入明细采集底稿'!P:P,'附表6-收入明细采集底稿'!G:G,数据对照表!A15,'附表6-收入明细采集底稿'!H:H,"自用")</f>
        <v>0</v>
      </c>
      <c r="J20" s="248">
        <f>SUMIFS('附表6-收入明细采集底稿'!P:P,'附表6-收入明细采集底稿'!G:G,数据对照表!A15,'附表6-收入明细采集底稿'!H:H,"出租")</f>
        <v>0</v>
      </c>
      <c r="K20" s="260"/>
    </row>
    <row r="21" spans="1:11">
      <c r="A21" s="244"/>
      <c r="B21" s="250" t="str">
        <f>"            "&amp;数据对照表!A16</f>
        <v>            水厂</v>
      </c>
      <c r="C21" s="247">
        <v>17</v>
      </c>
      <c r="D21" s="248">
        <f>SUMIFS('附表6-收入明细采集底稿'!P:P,'附表6-收入明细采集底稿'!G:G,数据对照表!A16)</f>
        <v>0</v>
      </c>
      <c r="E21" s="248">
        <f>SUMIFS('附表6-收入明细采集底稿'!P:P,'附表6-收入明细采集底稿'!G:G,数据对照表!A16,'附表6-收入明细采集底稿'!H:H,"不可售")</f>
        <v>0</v>
      </c>
      <c r="F21" s="248">
        <f>SUM(SUMIFS('附表6-收入明细采集底稿'!P:P,'附表6-收入明细采集底稿'!G:G,数据对照表!A16,'附表6-收入明细采集底稿'!H:H,"已售"),SUMIFS('附表6-收入明细采集底稿'!P:P,'附表6-收入明细采集底稿'!G:G,数据对照表!A16,'附表6-收入明细采集底稿'!H:H,"出租"),SUMIFS('附表6-收入明细采集底稿'!P:P,'附表6-收入明细采集底稿'!G:G,数据对照表!A16,'附表6-收入明细采集底稿'!H:H,"自用"),SUMIFS('附表6-收入明细采集底稿'!P:P,'附表6-收入明细采集底稿'!G:G,数据对照表!A16,'附表6-收入明细采集底稿'!H:H,"未售"))</f>
        <v>0</v>
      </c>
      <c r="G21" s="248">
        <f>SUMIFS('附表6-收入明细采集底稿'!P:P,'附表6-收入明细采集底稿'!G:G,数据对照表!A16,'附表6-收入明细采集底稿'!H:H,"已售")</f>
        <v>0</v>
      </c>
      <c r="H21" s="248">
        <f t="shared" si="4"/>
        <v>0</v>
      </c>
      <c r="I21" s="248">
        <f>SUMIFS('附表6-收入明细采集底稿'!P:P,'附表6-收入明细采集底稿'!G:G,数据对照表!A16,'附表6-收入明细采集底稿'!H:H,"自用")</f>
        <v>0</v>
      </c>
      <c r="J21" s="248">
        <f>SUMIFS('附表6-收入明细采集底稿'!P:P,'附表6-收入明细采集底稿'!G:G,数据对照表!A16,'附表6-收入明细采集底稿'!H:H,"出租")</f>
        <v>0</v>
      </c>
      <c r="K21" s="260"/>
    </row>
    <row r="22" spans="1:11">
      <c r="A22" s="244"/>
      <c r="B22" s="250" t="str">
        <f>"            "&amp;数据对照表!A17</f>
        <v>            文体场馆</v>
      </c>
      <c r="C22" s="247">
        <v>18</v>
      </c>
      <c r="D22" s="248">
        <f>SUMIFS('附表6-收入明细采集底稿'!P:P,'附表6-收入明细采集底稿'!G:G,数据对照表!A17)</f>
        <v>0</v>
      </c>
      <c r="E22" s="248">
        <f>SUMIFS('附表6-收入明细采集底稿'!P:P,'附表6-收入明细采集底稿'!G:G,数据对照表!A17,'附表6-收入明细采集底稿'!H:H,"不可售")</f>
        <v>0</v>
      </c>
      <c r="F22" s="248">
        <f>SUM(SUMIFS('附表6-收入明细采集底稿'!P:P,'附表6-收入明细采集底稿'!G:G,数据对照表!A17,'附表6-收入明细采集底稿'!H:H,"已售"),SUMIFS('附表6-收入明细采集底稿'!P:P,'附表6-收入明细采集底稿'!G:G,数据对照表!A17,'附表6-收入明细采集底稿'!H:H,"出租"),SUMIFS('附表6-收入明细采集底稿'!P:P,'附表6-收入明细采集底稿'!G:G,数据对照表!A17,'附表6-收入明细采集底稿'!H:H,"自用"),SUMIFS('附表6-收入明细采集底稿'!P:P,'附表6-收入明细采集底稿'!G:G,数据对照表!A17,'附表6-收入明细采集底稿'!H:H,"未售"))</f>
        <v>0</v>
      </c>
      <c r="G22" s="248">
        <f>SUMIFS('附表6-收入明细采集底稿'!P:P,'附表6-收入明细采集底稿'!G:G,数据对照表!A17,'附表6-收入明细采集底稿'!H:H,"已售")</f>
        <v>0</v>
      </c>
      <c r="H22" s="248">
        <f t="shared" si="4"/>
        <v>0</v>
      </c>
      <c r="I22" s="248">
        <f>SUMIFS('附表6-收入明细采集底稿'!P:P,'附表6-收入明细采集底稿'!G:G,数据对照表!A17,'附表6-收入明细采集底稿'!H:H,"自用")</f>
        <v>0</v>
      </c>
      <c r="J22" s="248">
        <f>SUMIFS('附表6-收入明细采集底稿'!P:P,'附表6-收入明细采集底稿'!G:G,数据对照表!A17,'附表6-收入明细采集底稿'!H:H,"出租")</f>
        <v>0</v>
      </c>
      <c r="K22" s="260"/>
    </row>
    <row r="23" spans="1:11">
      <c r="A23" s="244"/>
      <c r="B23" s="250" t="str">
        <f>"            "&amp;数据对照表!A18</f>
        <v>            学校</v>
      </c>
      <c r="C23" s="247">
        <v>19</v>
      </c>
      <c r="D23" s="248">
        <f>SUMIFS('附表6-收入明细采集底稿'!P:P,'附表6-收入明细采集底稿'!G:G,数据对照表!A18)</f>
        <v>0</v>
      </c>
      <c r="E23" s="248">
        <f>SUMIFS('附表6-收入明细采集底稿'!P:P,'附表6-收入明细采集底稿'!G:G,数据对照表!A18,'附表6-收入明细采集底稿'!H:H,"不可售")</f>
        <v>0</v>
      </c>
      <c r="F23" s="248">
        <f>SUM(SUMIFS('附表6-收入明细采集底稿'!P:P,'附表6-收入明细采集底稿'!G:G,数据对照表!A18,'附表6-收入明细采集底稿'!H:H,"已售"),SUMIFS('附表6-收入明细采集底稿'!P:P,'附表6-收入明细采集底稿'!G:G,数据对照表!A18,'附表6-收入明细采集底稿'!H:H,"出租"),SUMIFS('附表6-收入明细采集底稿'!P:P,'附表6-收入明细采集底稿'!G:G,数据对照表!A18,'附表6-收入明细采集底稿'!H:H,"自用"),SUMIFS('附表6-收入明细采集底稿'!P:P,'附表6-收入明细采集底稿'!G:G,数据对照表!A18,'附表6-收入明细采集底稿'!H:H,"未售"))</f>
        <v>0</v>
      </c>
      <c r="G23" s="248">
        <f>SUMIFS('附表6-收入明细采集底稿'!P:P,'附表6-收入明细采集底稿'!G:G,数据对照表!A18,'附表6-收入明细采集底稿'!H:H,"已售")</f>
        <v>0</v>
      </c>
      <c r="H23" s="248">
        <f t="shared" si="4"/>
        <v>0</v>
      </c>
      <c r="I23" s="248">
        <f>SUMIFS('附表6-收入明细采集底稿'!P:P,'附表6-收入明细采集底稿'!G:G,数据对照表!A18,'附表6-收入明细采集底稿'!H:H,"自用")</f>
        <v>0</v>
      </c>
      <c r="J23" s="248">
        <f>SUMIFS('附表6-收入明细采集底稿'!P:P,'附表6-收入明细采集底稿'!G:G,数据对照表!A18,'附表6-收入明细采集底稿'!H:H,"出租")</f>
        <v>0</v>
      </c>
      <c r="K23" s="260"/>
    </row>
    <row r="24" spans="1:11">
      <c r="A24" s="244"/>
      <c r="B24" s="250" t="str">
        <f>"            "&amp;数据对照表!A19</f>
        <v>            幼儿园</v>
      </c>
      <c r="C24" s="247">
        <v>20</v>
      </c>
      <c r="D24" s="248">
        <f>SUMIFS('附表6-收入明细采集底稿'!P:P,'附表6-收入明细采集底稿'!G:G,数据对照表!A19)</f>
        <v>0</v>
      </c>
      <c r="E24" s="248">
        <f>SUMIFS('附表6-收入明细采集底稿'!P:P,'附表6-收入明细采集底稿'!G:G,数据对照表!A19,'附表6-收入明细采集底稿'!H:H,"不可售")</f>
        <v>0</v>
      </c>
      <c r="F24" s="248">
        <f>SUM(SUMIFS('附表6-收入明细采集底稿'!P:P,'附表6-收入明细采集底稿'!G:G,数据对照表!A19,'附表6-收入明细采集底稿'!H:H,"已售"),SUMIFS('附表6-收入明细采集底稿'!P:P,'附表6-收入明细采集底稿'!G:G,数据对照表!A19,'附表6-收入明细采集底稿'!H:H,"出租"),SUMIFS('附表6-收入明细采集底稿'!P:P,'附表6-收入明细采集底稿'!G:G,数据对照表!A19,'附表6-收入明细采集底稿'!H:H,"自用"),SUMIFS('附表6-收入明细采集底稿'!P:P,'附表6-收入明细采集底稿'!G:G,数据对照表!A19,'附表6-收入明细采集底稿'!H:H,"未售"))</f>
        <v>0</v>
      </c>
      <c r="G24" s="248">
        <f>SUMIFS('附表6-收入明细采集底稿'!P:P,'附表6-收入明细采集底稿'!G:G,数据对照表!A19,'附表6-收入明细采集底稿'!H:H,"已售")</f>
        <v>0</v>
      </c>
      <c r="H24" s="248">
        <f t="shared" si="4"/>
        <v>0</v>
      </c>
      <c r="I24" s="248">
        <f>SUMIFS('附表6-收入明细采集底稿'!P:P,'附表6-收入明细采集底稿'!G:G,数据对照表!A19,'附表6-收入明细采集底稿'!H:H,"自用")</f>
        <v>0</v>
      </c>
      <c r="J24" s="248">
        <f>SUMIFS('附表6-收入明细采集底稿'!P:P,'附表6-收入明细采集底稿'!G:G,数据对照表!A19,'附表6-收入明细采集底稿'!H:H,"出租")</f>
        <v>0</v>
      </c>
      <c r="K24" s="260"/>
    </row>
    <row r="25" spans="1:11">
      <c r="A25" s="244"/>
      <c r="B25" s="250" t="str">
        <f>"            "&amp;数据对照表!A20</f>
        <v>            托儿所</v>
      </c>
      <c r="C25" s="247">
        <v>21</v>
      </c>
      <c r="D25" s="248">
        <f>SUMIFS('附表6-收入明细采集底稿'!P:P,'附表6-收入明细采集底稿'!G:G,数据对照表!A20)</f>
        <v>0</v>
      </c>
      <c r="E25" s="248">
        <f>SUMIFS('附表6-收入明细采集底稿'!P:P,'附表6-收入明细采集底稿'!G:G,数据对照表!A20,'附表6-收入明细采集底稿'!H:H,"不可售")</f>
        <v>0</v>
      </c>
      <c r="F25" s="248">
        <f>SUM(SUMIFS('附表6-收入明细采集底稿'!P:P,'附表6-收入明细采集底稿'!G:G,数据对照表!A20,'附表6-收入明细采集底稿'!H:H,"已售"),SUMIFS('附表6-收入明细采集底稿'!P:P,'附表6-收入明细采集底稿'!G:G,数据对照表!A20,'附表6-收入明细采集底稿'!H:H,"出租"),SUMIFS('附表6-收入明细采集底稿'!P:P,'附表6-收入明细采集底稿'!G:G,数据对照表!A20,'附表6-收入明细采集底稿'!H:H,"自用"),SUMIFS('附表6-收入明细采集底稿'!P:P,'附表6-收入明细采集底稿'!G:G,数据对照表!A20,'附表6-收入明细采集底稿'!H:H,"未售"))</f>
        <v>0</v>
      </c>
      <c r="G25" s="248">
        <f>SUMIFS('附表6-收入明细采集底稿'!P:P,'附表6-收入明细采集底稿'!G:G,数据对照表!A20,'附表6-收入明细采集底稿'!H:H,"已售")</f>
        <v>0</v>
      </c>
      <c r="H25" s="248">
        <f t="shared" si="4"/>
        <v>0</v>
      </c>
      <c r="I25" s="248">
        <f>SUMIFS('附表6-收入明细采集底稿'!P:P,'附表6-收入明细采集底稿'!G:G,数据对照表!A20,'附表6-收入明细采集底稿'!H:H,"自用")</f>
        <v>0</v>
      </c>
      <c r="J25" s="248">
        <f>SUMIFS('附表6-收入明细采集底稿'!P:P,'附表6-收入明细采集底稿'!G:G,数据对照表!A20,'附表6-收入明细采集底稿'!H:H,"出租")</f>
        <v>0</v>
      </c>
      <c r="K25" s="260"/>
    </row>
    <row r="26" spans="1:11">
      <c r="A26" s="244"/>
      <c r="B26" s="250" t="str">
        <f>"            "&amp;数据对照表!A21</f>
        <v>            医院</v>
      </c>
      <c r="C26" s="247">
        <v>22</v>
      </c>
      <c r="D26" s="248">
        <f>SUMIFS('附表6-收入明细采集底稿'!P:P,'附表6-收入明细采集底稿'!G:G,数据对照表!A21)</f>
        <v>0</v>
      </c>
      <c r="E26" s="248">
        <f>SUMIFS('附表6-收入明细采集底稿'!P:P,'附表6-收入明细采集底稿'!G:G,数据对照表!A21,'附表6-收入明细采集底稿'!H:H,"不可售")</f>
        <v>0</v>
      </c>
      <c r="F26" s="248">
        <f>SUM(SUMIFS('附表6-收入明细采集底稿'!P:P,'附表6-收入明细采集底稿'!G:G,数据对照表!A21,'附表6-收入明细采集底稿'!H:H,"已售"),SUMIFS('附表6-收入明细采集底稿'!P:P,'附表6-收入明细采集底稿'!G:G,数据对照表!A21,'附表6-收入明细采集底稿'!H:H,"出租"),SUMIFS('附表6-收入明细采集底稿'!P:P,'附表6-收入明细采集底稿'!G:G,数据对照表!A21,'附表6-收入明细采集底稿'!H:H,"自用"),SUMIFS('附表6-收入明细采集底稿'!P:P,'附表6-收入明细采集底稿'!G:G,数据对照表!A21,'附表6-收入明细采集底稿'!H:H,"未售"))</f>
        <v>0</v>
      </c>
      <c r="G26" s="248">
        <f>SUMIFS('附表6-收入明细采集底稿'!P:P,'附表6-收入明细采集底稿'!G:G,数据对照表!A21,'附表6-收入明细采集底稿'!H:H,"已售")</f>
        <v>0</v>
      </c>
      <c r="H26" s="248">
        <f t="shared" si="4"/>
        <v>0</v>
      </c>
      <c r="I26" s="248">
        <f>SUMIFS('附表6-收入明细采集底稿'!P:P,'附表6-收入明细采集底稿'!G:G,数据对照表!A21,'附表6-收入明细采集底稿'!H:H,"自用")</f>
        <v>0</v>
      </c>
      <c r="J26" s="248">
        <f>SUMIFS('附表6-收入明细采集底稿'!P:P,'附表6-收入明细采集底稿'!G:G,数据对照表!A21,'附表6-收入明细采集底稿'!H:H,"出租")</f>
        <v>0</v>
      </c>
      <c r="K26" s="260"/>
    </row>
    <row r="27" spans="1:11">
      <c r="A27" s="244"/>
      <c r="B27" s="250" t="str">
        <f>"            "&amp;数据对照表!A22</f>
        <v>            邮电通讯</v>
      </c>
      <c r="C27" s="247">
        <v>23</v>
      </c>
      <c r="D27" s="248">
        <f>SUMIFS('附表6-收入明细采集底稿'!P:P,'附表6-收入明细采集底稿'!G:G,数据对照表!A22)</f>
        <v>0</v>
      </c>
      <c r="E27" s="248">
        <f>SUMIFS('附表6-收入明细采集底稿'!P:P,'附表6-收入明细采集底稿'!G:G,数据对照表!A22,'附表6-收入明细采集底稿'!H:H,"不可售")</f>
        <v>0</v>
      </c>
      <c r="F27" s="248">
        <f>SUM(SUMIFS('附表6-收入明细采集底稿'!P:P,'附表6-收入明细采集底稿'!G:G,数据对照表!A22,'附表6-收入明细采集底稿'!H:H,"已售"),SUMIFS('附表6-收入明细采集底稿'!P:P,'附表6-收入明细采集底稿'!G:G,数据对照表!A22,'附表6-收入明细采集底稿'!H:H,"出租"),SUMIFS('附表6-收入明细采集底稿'!P:P,'附表6-收入明细采集底稿'!G:G,数据对照表!A22,'附表6-收入明细采集底稿'!H:H,"自用"),SUMIFS('附表6-收入明细采集底稿'!P:P,'附表6-收入明细采集底稿'!G:G,数据对照表!A22,'附表6-收入明细采集底稿'!H:H,"未售"))</f>
        <v>0</v>
      </c>
      <c r="G27" s="248">
        <f>SUMIFS('附表6-收入明细采集底稿'!P:P,'附表6-收入明细采集底稿'!G:G,数据对照表!A22,'附表6-收入明细采集底稿'!H:H,"已售")</f>
        <v>0</v>
      </c>
      <c r="H27" s="248">
        <f t="shared" si="4"/>
        <v>0</v>
      </c>
      <c r="I27" s="248">
        <f>SUMIFS('附表6-收入明细采集底稿'!P:P,'附表6-收入明细采集底稿'!G:G,数据对照表!A22,'附表6-收入明细采集底稿'!H:H,"自用")</f>
        <v>0</v>
      </c>
      <c r="J27" s="248">
        <f>SUMIFS('附表6-收入明细采集底稿'!P:P,'附表6-收入明细采集底稿'!G:G,数据对照表!A22,'附表6-收入明细采集底稿'!H:H,"出租")</f>
        <v>0</v>
      </c>
      <c r="K27" s="260"/>
    </row>
    <row r="28" spans="1:11">
      <c r="A28" s="244"/>
      <c r="B28" s="250" t="str">
        <f>"            "&amp;数据对照表!A23</f>
        <v>            其他非营业性房产</v>
      </c>
      <c r="C28" s="247">
        <v>24</v>
      </c>
      <c r="D28" s="248">
        <f>SUMIFS('附表6-收入明细采集底稿'!P:P,'附表6-收入明细采集底稿'!G:G,数据对照表!A23)</f>
        <v>0</v>
      </c>
      <c r="E28" s="248">
        <f>SUMIFS('附表6-收入明细采集底稿'!P:P,'附表6-收入明细采集底稿'!G:G,数据对照表!A23,'附表6-收入明细采集底稿'!H:H,"不可售")</f>
        <v>0</v>
      </c>
      <c r="F28" s="248">
        <f>SUM(SUMIFS('附表6-收入明细采集底稿'!P:P,'附表6-收入明细采集底稿'!G:G,数据对照表!A23,'附表6-收入明细采集底稿'!H:H,"已售"),SUMIFS('附表6-收入明细采集底稿'!P:P,'附表6-收入明细采集底稿'!G:G,数据对照表!A23,'附表6-收入明细采集底稿'!H:H,"出租"),SUMIFS('附表6-收入明细采集底稿'!P:P,'附表6-收入明细采集底稿'!G:G,数据对照表!A23,'附表6-收入明细采集底稿'!H:H,"自用"),SUMIFS('附表6-收入明细采集底稿'!P:P,'附表6-收入明细采集底稿'!G:G,数据对照表!A23,'附表6-收入明细采集底稿'!H:H,"未售"))</f>
        <v>0</v>
      </c>
      <c r="G28" s="248">
        <f>SUMIFS('附表6-收入明细采集底稿'!P:P,'附表6-收入明细采集底稿'!G:G,数据对照表!A23,'附表6-收入明细采集底稿'!H:H,"已售")</f>
        <v>0</v>
      </c>
      <c r="H28" s="248">
        <f t="shared" si="4"/>
        <v>0</v>
      </c>
      <c r="I28" s="248">
        <f>SUMIFS('附表6-收入明细采集底稿'!P:P,'附表6-收入明细采集底稿'!G:G,数据对照表!A23,'附表6-收入明细采集底稿'!H:H,"自用")</f>
        <v>0</v>
      </c>
      <c r="J28" s="248">
        <f>SUMIFS('附表6-收入明细采集底稿'!P:P,'附表6-收入明细采集底稿'!G:G,数据对照表!A23,'附表6-收入明细采集底稿'!H:H,"出租")</f>
        <v>0</v>
      </c>
      <c r="K28" s="260"/>
    </row>
    <row r="29" spans="1:11">
      <c r="A29" s="251"/>
      <c r="B29" s="252" t="s">
        <v>68</v>
      </c>
      <c r="C29" s="247">
        <v>25</v>
      </c>
      <c r="D29" s="248">
        <f>SUM(D5:D7)</f>
        <v>0</v>
      </c>
      <c r="E29" s="248">
        <f t="shared" ref="E29:J29" si="5">SUM(E5:E7)</f>
        <v>0</v>
      </c>
      <c r="F29" s="248">
        <f t="shared" si="5"/>
        <v>0</v>
      </c>
      <c r="G29" s="248">
        <f t="shared" si="5"/>
        <v>0</v>
      </c>
      <c r="H29" s="248">
        <f t="shared" si="5"/>
        <v>0</v>
      </c>
      <c r="I29" s="248">
        <f t="shared" si="5"/>
        <v>0</v>
      </c>
      <c r="J29" s="248">
        <f t="shared" si="5"/>
        <v>0</v>
      </c>
      <c r="K29" s="260"/>
    </row>
    <row r="30" spans="1:11">
      <c r="A30" s="253" t="s">
        <v>176</v>
      </c>
      <c r="B30" s="254" t="s">
        <v>159</v>
      </c>
      <c r="C30" s="254" t="s">
        <v>24</v>
      </c>
      <c r="D30" s="90" t="s">
        <v>177</v>
      </c>
      <c r="E30" s="90" t="s">
        <v>90</v>
      </c>
      <c r="F30" s="90" t="s">
        <v>178</v>
      </c>
      <c r="G30" s="90" t="s">
        <v>179</v>
      </c>
      <c r="H30" s="90" t="s">
        <v>180</v>
      </c>
      <c r="I30" s="261" t="s">
        <v>181</v>
      </c>
      <c r="J30" s="262"/>
      <c r="K30" s="258" t="s">
        <v>167</v>
      </c>
    </row>
    <row r="31" spans="1:11">
      <c r="A31" s="253"/>
      <c r="B31" s="255"/>
      <c r="C31" s="255"/>
      <c r="D31" s="322" t="s">
        <v>182</v>
      </c>
      <c r="E31" s="322" t="s">
        <v>183</v>
      </c>
      <c r="F31" s="322" t="s">
        <v>184</v>
      </c>
      <c r="G31" s="322" t="s">
        <v>185</v>
      </c>
      <c r="H31" s="322" t="s">
        <v>186</v>
      </c>
      <c r="I31" s="324" t="s">
        <v>187</v>
      </c>
      <c r="J31" s="262"/>
      <c r="K31" s="323" t="s">
        <v>188</v>
      </c>
    </row>
    <row r="32" spans="1:11">
      <c r="A32" s="253"/>
      <c r="B32" s="250" t="str">
        <f>B5</f>
        <v>普通住宅</v>
      </c>
      <c r="C32" s="247">
        <v>26</v>
      </c>
      <c r="D32" s="256">
        <f>F5</f>
        <v>0</v>
      </c>
      <c r="E32" s="256">
        <f t="shared" ref="D32:E34" si="6">G5</f>
        <v>0</v>
      </c>
      <c r="F32" s="257" t="str">
        <f>IF(D32=0,"",E32/D32)</f>
        <v/>
      </c>
      <c r="G32" s="257" t="str">
        <f>IF(F5=0,"",I5/F5)</f>
        <v/>
      </c>
      <c r="H32" s="257" t="str">
        <f>IF(F5=0,"",J5/F5)</f>
        <v/>
      </c>
      <c r="I32" s="263" t="str">
        <f>IF(F5=0,"",(G5+I5+J5)/F5)</f>
        <v/>
      </c>
      <c r="J32" s="264"/>
      <c r="K32" s="247"/>
    </row>
    <row r="33" spans="1:11">
      <c r="A33" s="253"/>
      <c r="B33" s="250" t="str">
        <f>B6</f>
        <v>非普通住宅</v>
      </c>
      <c r="C33" s="247">
        <v>27</v>
      </c>
      <c r="D33" s="256">
        <f t="shared" si="6"/>
        <v>0</v>
      </c>
      <c r="E33" s="256">
        <f t="shared" si="6"/>
        <v>0</v>
      </c>
      <c r="F33" s="257" t="str">
        <f t="shared" ref="F33:F35" si="7">IF(D33=0,"",E33/D33)</f>
        <v/>
      </c>
      <c r="G33" s="257" t="str">
        <f t="shared" ref="G33:G34" si="8">IF(F6=0,"",I6/F6)</f>
        <v/>
      </c>
      <c r="H33" s="257" t="str">
        <f t="shared" ref="H33:H34" si="9">IF(F6=0,"",J6/F6)</f>
        <v/>
      </c>
      <c r="I33" s="263" t="str">
        <f>IF(F6=0,"",(G6+I6+J6)/F6)</f>
        <v/>
      </c>
      <c r="J33" s="264"/>
      <c r="K33" s="247"/>
    </row>
    <row r="34" spans="1:11">
      <c r="A34" s="253"/>
      <c r="B34" s="250" t="str">
        <f>B7</f>
        <v>其他类型房产</v>
      </c>
      <c r="C34" s="247">
        <v>28</v>
      </c>
      <c r="D34" s="256">
        <f>F7</f>
        <v>0</v>
      </c>
      <c r="E34" s="256">
        <f t="shared" si="6"/>
        <v>0</v>
      </c>
      <c r="F34" s="257" t="str">
        <f t="shared" si="7"/>
        <v/>
      </c>
      <c r="G34" s="257" t="str">
        <f t="shared" si="8"/>
        <v/>
      </c>
      <c r="H34" s="257" t="str">
        <f t="shared" si="9"/>
        <v/>
      </c>
      <c r="I34" s="263" t="str">
        <f t="shared" ref="I34" si="10">IF(F7=0,"",(G7+I7+J7)/F7)</f>
        <v/>
      </c>
      <c r="J34" s="264"/>
      <c r="K34" s="247"/>
    </row>
    <row r="35" customHeight="1" spans="1:11">
      <c r="A35" s="253"/>
      <c r="B35" s="238" t="s">
        <v>68</v>
      </c>
      <c r="C35" s="247">
        <v>29</v>
      </c>
      <c r="D35" s="256">
        <f>SUM(D32:D34)</f>
        <v>0</v>
      </c>
      <c r="E35" s="256">
        <f>SUM(E32:E34)</f>
        <v>0</v>
      </c>
      <c r="F35" s="257" t="str">
        <f t="shared" si="7"/>
        <v/>
      </c>
      <c r="G35" s="257" t="str">
        <f>IF(F29=0,"",I29/F29)</f>
        <v/>
      </c>
      <c r="H35" s="257" t="str">
        <f>IF(F29=0,"",J29/F29)</f>
        <v/>
      </c>
      <c r="I35" s="265" t="str">
        <f>IF(F29=0,"",(G29+I29+J29)/F29)</f>
        <v/>
      </c>
      <c r="J35" s="266"/>
      <c r="K35" s="267"/>
    </row>
  </sheetData>
  <mergeCells count="14">
    <mergeCell ref="A1:K1"/>
    <mergeCell ref="A2:K2"/>
    <mergeCell ref="I30:J30"/>
    <mergeCell ref="I31:J31"/>
    <mergeCell ref="I32:J32"/>
    <mergeCell ref="I33:J33"/>
    <mergeCell ref="I34:J34"/>
    <mergeCell ref="I35:J35"/>
    <mergeCell ref="A3:A29"/>
    <mergeCell ref="A30:A35"/>
    <mergeCell ref="B3:B4"/>
    <mergeCell ref="B30:B31"/>
    <mergeCell ref="C3:C4"/>
    <mergeCell ref="C30:C31"/>
  </mergeCells>
  <printOptions horizontalCentered="1"/>
  <pageMargins left="0.747916666666667" right="0.747916666666667" top="0.984027777777778" bottom="0.984027777777778" header="0.511805555555556" footer="0.511805555555556"/>
  <pageSetup paperSize="9" scale="85" fitToHeight="0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zoomScale="120" zoomScaleNormal="120" workbookViewId="0">
      <selection activeCell="H10" sqref="H10"/>
    </sheetView>
  </sheetViews>
  <sheetFormatPr defaultColWidth="8.875" defaultRowHeight="12"/>
  <cols>
    <col min="1" max="1" width="21.5" style="47" customWidth="1"/>
    <col min="2" max="2" width="5.75" style="47" customWidth="1"/>
    <col min="3" max="6" width="26.625" style="223" customWidth="1"/>
    <col min="7" max="7" width="15.875" style="47" customWidth="1"/>
    <col min="8" max="28" width="9" style="47"/>
    <col min="29" max="16384" width="8.875" style="47"/>
  </cols>
  <sheetData>
    <row r="1" ht="22.5" spans="1:6">
      <c r="A1" s="224" t="s">
        <v>189</v>
      </c>
      <c r="B1" s="224"/>
      <c r="C1" s="225"/>
      <c r="D1" s="225"/>
      <c r="E1" s="225"/>
      <c r="F1" s="225"/>
    </row>
    <row r="2" ht="35.1" customHeight="1" spans="1:9">
      <c r="A2" s="226" t="str">
        <f>土地增值税税源明细表!F5&amp;"："&amp;土地增值税税源明细表!H5&amp;"          "&amp;土地增值税税源明细表!A5&amp;"："&amp;土地增值税税源明细表!B5&amp;"          "&amp;"金额单位:人民币元(列至角分)"</f>
        <v>项目编码：          项目名称：          金额单位:人民币元(列至角分)</v>
      </c>
      <c r="B2" s="226"/>
      <c r="C2" s="227"/>
      <c r="D2" s="227"/>
      <c r="E2" s="227"/>
      <c r="F2" s="227"/>
      <c r="G2" s="228"/>
      <c r="H2" s="228"/>
      <c r="I2" s="228"/>
    </row>
    <row r="3" ht="35.1" customHeight="1" spans="1:6">
      <c r="A3" s="229" t="s">
        <v>190</v>
      </c>
      <c r="B3" s="229" t="s">
        <v>24</v>
      </c>
      <c r="C3" s="230" t="s">
        <v>191</v>
      </c>
      <c r="D3" s="230" t="s">
        <v>192</v>
      </c>
      <c r="E3" s="230" t="s">
        <v>193</v>
      </c>
      <c r="F3" s="230" t="s">
        <v>194</v>
      </c>
    </row>
    <row r="4" s="221" customFormat="1" ht="35.1" customHeight="1" spans="1:6">
      <c r="A4" s="231"/>
      <c r="B4" s="231"/>
      <c r="C4" s="325" t="s">
        <v>195</v>
      </c>
      <c r="D4" s="325" t="s">
        <v>169</v>
      </c>
      <c r="E4" s="325" t="s">
        <v>170</v>
      </c>
      <c r="F4" s="325" t="s">
        <v>196</v>
      </c>
    </row>
    <row r="5" ht="35.1" customHeight="1" spans="1:6">
      <c r="A5" s="232" t="str">
        <f>数据对照表!A2</f>
        <v>普通住宅</v>
      </c>
      <c r="B5" s="233">
        <v>1</v>
      </c>
      <c r="C5" s="234">
        <f>SUMIFS('附表6-收入明细采集底稿'!X:X,'附表6-收入明细采集底稿'!G:G,"普通住宅",'附表6-收入明细采集底稿'!H:H,"已售",'附表6-收入明细采集底稿'!I:I,"货币收入")</f>
        <v>0</v>
      </c>
      <c r="D5" s="234">
        <f>SUMIFS('附表6-收入明细采集底稿'!X:X,'附表6-收入明细采集底稿'!G:G,"普通住宅",'附表6-收入明细采集底稿'!H:H,"已售",'附表6-收入明细采集底稿'!I:I,"实物及其他收入")</f>
        <v>0</v>
      </c>
      <c r="E5" s="234">
        <f>SUMIFS('附表6-收入明细采集底稿'!X:X,'附表6-收入明细采集底稿'!G:G,"普通住宅",'附表6-收入明细采集底稿'!H:H,"已售",'附表6-收入明细采集底稿'!I:I,"视同销售收入")</f>
        <v>0</v>
      </c>
      <c r="F5" s="235">
        <f>C5+D5+E5</f>
        <v>0</v>
      </c>
    </row>
    <row r="6" ht="35.1" customHeight="1" spans="1:6">
      <c r="A6" s="232" t="str">
        <f>数据对照表!A3</f>
        <v>非普通住宅</v>
      </c>
      <c r="B6" s="233">
        <v>2</v>
      </c>
      <c r="C6" s="234">
        <f>SUMIFS('附表6-收入明细采集底稿'!X:X,'附表6-收入明细采集底稿'!G:G,"非普通住宅",'附表6-收入明细采集底稿'!H:H,"已售",'附表6-收入明细采集底稿'!I:I,"货币收入")</f>
        <v>0</v>
      </c>
      <c r="D6" s="234">
        <f>SUMIFS('附表6-收入明细采集底稿'!X:X,'附表6-收入明细采集底稿'!G:G,"非普通住宅",'附表6-收入明细采集底稿'!H:H,"已售",'附表6-收入明细采集底稿'!I:I,"实物及其他收入")</f>
        <v>0</v>
      </c>
      <c r="E6" s="234">
        <f>SUMIFS('附表6-收入明细采集底稿'!X:X,'附表6-收入明细采集底稿'!G:G,"非普通住宅",'附表6-收入明细采集底稿'!H:H,"已售",'附表6-收入明细采集底稿'!I:I,"视同销售收入")</f>
        <v>0</v>
      </c>
      <c r="F6" s="235">
        <f t="shared" ref="F6:F13" si="0">C6+D6+E6</f>
        <v>0</v>
      </c>
    </row>
    <row r="7" ht="35.1" customHeight="1" spans="1:6">
      <c r="A7" s="232" t="s">
        <v>102</v>
      </c>
      <c r="B7" s="233">
        <v>3</v>
      </c>
      <c r="C7" s="234">
        <f>SUM(C8:C12)</f>
        <v>0</v>
      </c>
      <c r="D7" s="234">
        <f>SUM(D8:D12)</f>
        <v>0</v>
      </c>
      <c r="E7" s="234">
        <f>SUM(E8:E12)</f>
        <v>0</v>
      </c>
      <c r="F7" s="235">
        <f t="shared" si="0"/>
        <v>0</v>
      </c>
    </row>
    <row r="8" ht="35.1" customHeight="1" spans="1:6">
      <c r="A8" s="236" t="str">
        <f>"其中："&amp;数据对照表!A4</f>
        <v>其中：商业用房</v>
      </c>
      <c r="B8" s="233">
        <v>4</v>
      </c>
      <c r="C8" s="234">
        <f>SUMIFS('附表6-收入明细采集底稿'!X:X,'附表6-收入明细采集底稿'!G:G,"商业用房",'附表6-收入明细采集底稿'!H:H,"已售",'附表6-收入明细采集底稿'!I:I,"货币收入")</f>
        <v>0</v>
      </c>
      <c r="D8" s="234">
        <f>SUMIFS('附表6-收入明细采集底稿'!X:X,'附表6-收入明细采集底稿'!G:G,"商业用房",'附表6-收入明细采集底稿'!H:H,"已售",'附表6-收入明细采集底稿'!I:I,"实物及其他收入")</f>
        <v>0</v>
      </c>
      <c r="E8" s="234">
        <f>SUMIFS('附表6-收入明细采集底稿'!X:X,'附表6-收入明细采集底稿'!G:G,"商业用房",'附表6-收入明细采集底稿'!H:H,"已售",'附表6-收入明细采集底稿'!I:I,"视同销售收入")</f>
        <v>0</v>
      </c>
      <c r="F8" s="235">
        <f t="shared" si="0"/>
        <v>0</v>
      </c>
    </row>
    <row r="9" ht="35.1" customHeight="1" spans="1:6">
      <c r="A9" s="236" t="str">
        <f>"      "&amp;数据对照表!A5</f>
        <v>      办公用房</v>
      </c>
      <c r="B9" s="233">
        <v>5</v>
      </c>
      <c r="C9" s="234">
        <f>SUMIFS('附表6-收入明细采集底稿'!X:X,'附表6-收入明细采集底稿'!G:G,"办公用房",'附表6-收入明细采集底稿'!H:H,"已售",'附表6-收入明细采集底稿'!I:I,"货币收入")</f>
        <v>0</v>
      </c>
      <c r="D9" s="234">
        <f>SUMIFS('附表6-收入明细采集底稿'!X:X,'附表6-收入明细采集底稿'!G:G,"办公用房",'附表6-收入明细采集底稿'!H:H,"已售",'附表6-收入明细采集底稿'!I:I,"实物及其他收入")</f>
        <v>0</v>
      </c>
      <c r="E9" s="234">
        <f>SUMIFS('附表6-收入明细采集底稿'!X:X,'附表6-收入明细采集底稿'!G:G,"办公用房",'附表6-收入明细采集底稿'!H:H,"已售",'附表6-收入明细采集底稿'!I:I,"视同销售收入")</f>
        <v>0</v>
      </c>
      <c r="F9" s="235">
        <f t="shared" si="0"/>
        <v>0</v>
      </c>
    </row>
    <row r="10" ht="35.1" customHeight="1" spans="1:6">
      <c r="A10" s="236" t="str">
        <f>"      "&amp;数据对照表!A6</f>
        <v>      车位车库</v>
      </c>
      <c r="B10" s="233">
        <v>6</v>
      </c>
      <c r="C10" s="234">
        <f>SUMIFS('附表6-收入明细采集底稿'!X:X,'附表6-收入明细采集底稿'!G:G,"车位车库",'附表6-收入明细采集底稿'!H:H,"已售",'附表6-收入明细采集底稿'!I:I,"货币收入")</f>
        <v>0</v>
      </c>
      <c r="D10" s="234">
        <f>SUMIFS('附表6-收入明细采集底稿'!X:X,'附表6-收入明细采集底稿'!G:G,"车位车库",'附表6-收入明细采集底稿'!H:H,"已售",'附表6-收入明细采集底稿'!I:I,"实物及其他收入")</f>
        <v>0</v>
      </c>
      <c r="E10" s="234">
        <f>SUMIFS('附表6-收入明细采集底稿'!X:X,'附表6-收入明细采集底稿'!G:G,"车位车库",'附表6-收入明细采集底稿'!H:H,"已售",'附表6-收入明细采集底稿'!I:I,"视同销售收入")</f>
        <v>0</v>
      </c>
      <c r="F10" s="235">
        <f t="shared" si="0"/>
        <v>0</v>
      </c>
    </row>
    <row r="11" ht="35.1" customHeight="1" spans="1:6">
      <c r="A11" s="236" t="str">
        <f>"      "&amp;数据对照表!A7</f>
        <v>      其他营业性房产</v>
      </c>
      <c r="B11" s="233">
        <v>7</v>
      </c>
      <c r="C11" s="234">
        <f>SUMIFS('附表6-收入明细采集底稿'!X:X,'附表6-收入明细采集底稿'!G:G,"其他营业性房产",'附表6-收入明细采集底稿'!H:H,"已售",'附表6-收入明细采集底稿'!I:I,"货币收入")</f>
        <v>0</v>
      </c>
      <c r="D11" s="234">
        <f>SUMIFS('附表6-收入明细采集底稿'!X:X,'附表6-收入明细采集底稿'!G:G,"其他营业性房产",'附表6-收入明细采集底稿'!H:H,"已售",'附表6-收入明细采集底稿'!I:I,"实物及其他收入")</f>
        <v>0</v>
      </c>
      <c r="E11" s="234">
        <f>SUMIFS('附表6-收入明细采集底稿'!X:X,'附表6-收入明细采集底稿'!G:G,"其他营业性房产",'附表6-收入明细采集底稿'!H:H,"已售",'附表6-收入明细采集底稿'!I:I,"视同销售收入")</f>
        <v>0</v>
      </c>
      <c r="F11" s="235">
        <f t="shared" si="0"/>
        <v>0</v>
      </c>
    </row>
    <row r="12" ht="35.1" customHeight="1" spans="1:6">
      <c r="A12" s="236" t="str">
        <f>"      "&amp;"非营业性房产"</f>
        <v>      非营业性房产</v>
      </c>
      <c r="B12" s="233">
        <v>8</v>
      </c>
      <c r="C12" s="237">
        <f>ROUND(SUMIFS('附表6-收入明细采集底稿'!X:X,'附表6-收入明细采集底稿'!H:H,"已售",'附表6-收入明细采集底稿'!I:I,"货币收入")-C5-C6-C8-C9-C10-C11,2)</f>
        <v>0</v>
      </c>
      <c r="D12" s="237">
        <f>ROUND(SUMIFS('附表6-收入明细采集底稿'!X:X,'附表6-收入明细采集底稿'!H:H,"已售",'附表6-收入明细采集底稿'!I:I,"实物及其他收入")-D5-D6-D8-D9-D10-D11,2)</f>
        <v>0</v>
      </c>
      <c r="E12" s="237">
        <f>ROUND(SUMIFS('附表6-收入明细采集底稿'!X:X,'附表6-收入明细采集底稿'!H:H,"已售",'附表6-收入明细采集底稿'!I:I,"视同销售收入")-E5-E6-E8-E9-E10-E11,2)</f>
        <v>0</v>
      </c>
      <c r="F12" s="235">
        <f t="shared" si="0"/>
        <v>0</v>
      </c>
    </row>
    <row r="13" s="222" customFormat="1" ht="35.1" customHeight="1" spans="1:6">
      <c r="A13" s="238" t="s">
        <v>68</v>
      </c>
      <c r="B13" s="233">
        <v>9</v>
      </c>
      <c r="C13" s="235">
        <f>C5+C6+C7</f>
        <v>0</v>
      </c>
      <c r="D13" s="235">
        <f>D5+D6+D7</f>
        <v>0</v>
      </c>
      <c r="E13" s="235">
        <f>E5+E6+E7</f>
        <v>0</v>
      </c>
      <c r="F13" s="235">
        <f t="shared" si="0"/>
        <v>0</v>
      </c>
    </row>
  </sheetData>
  <mergeCells count="4">
    <mergeCell ref="A1:F1"/>
    <mergeCell ref="A2:F2"/>
    <mergeCell ref="A3:A4"/>
    <mergeCell ref="B3:B4"/>
  </mergeCells>
  <printOptions horizontalCentered="1"/>
  <pageMargins left="0.747916666666667" right="0.747916666666667" top="0.984027777777778" bottom="0.984027777777778" header="0.511805555555556" footer="0.511805555555556"/>
  <pageSetup paperSize="9" scale="80" fitToHeight="0" orientation="landscape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6"/>
  <sheetViews>
    <sheetView zoomScale="90" zoomScaleNormal="90" workbookViewId="0">
      <selection activeCell="D10" sqref="D10"/>
    </sheetView>
  </sheetViews>
  <sheetFormatPr defaultColWidth="8.875" defaultRowHeight="14.25"/>
  <cols>
    <col min="1" max="1" width="25.5" style="161" customWidth="1"/>
    <col min="2" max="2" width="21.5" style="185" customWidth="1"/>
    <col min="3" max="3" width="13.375" style="186" customWidth="1"/>
    <col min="4" max="4" width="15" style="186" customWidth="1"/>
    <col min="5" max="5" width="14.125" style="186" customWidth="1"/>
    <col min="6" max="6" width="9.5" style="186" customWidth="1"/>
    <col min="7" max="7" width="13.375" style="187" customWidth="1"/>
    <col min="8" max="8" width="12.5" style="188" customWidth="1"/>
    <col min="9" max="10" width="12.875" style="188" customWidth="1"/>
    <col min="11" max="13" width="17.375" style="186" customWidth="1"/>
    <col min="14" max="14" width="15.5" style="186" customWidth="1"/>
    <col min="15" max="16384" width="8.875" style="161"/>
  </cols>
  <sheetData>
    <row r="1" s="159" customFormat="1" ht="20.25" spans="1:14">
      <c r="A1" s="189" t="s">
        <v>197</v>
      </c>
      <c r="B1" s="189"/>
      <c r="C1" s="190"/>
      <c r="D1" s="190"/>
      <c r="E1" s="190"/>
      <c r="F1" s="190"/>
      <c r="G1" s="189"/>
      <c r="H1" s="191"/>
      <c r="I1" s="191"/>
      <c r="J1" s="191"/>
      <c r="K1" s="190"/>
      <c r="L1" s="190"/>
      <c r="M1" s="190"/>
      <c r="N1" s="190"/>
    </row>
    <row r="2" s="47" customFormat="1" ht="19.5" customHeight="1" spans="1:21">
      <c r="A2" s="55" t="str">
        <f>土地增值税税源明细表!F5&amp;"："&amp;土地增值税税源明细表!H5&amp;"          "&amp;土地增值税税源明细表!A5&amp;"："&amp;土地增值税税源明细表!B5&amp;"          "&amp;"金额单位:人民币元(列至角分)"</f>
        <v>项目编码：          项目名称：          金额单位:人民币元(列至角分)</v>
      </c>
      <c r="B2" s="55"/>
      <c r="C2" s="56"/>
      <c r="D2" s="56"/>
      <c r="E2" s="56"/>
      <c r="F2" s="56"/>
      <c r="G2" s="55"/>
      <c r="H2" s="192"/>
      <c r="I2" s="192"/>
      <c r="J2" s="192"/>
      <c r="K2" s="56"/>
      <c r="L2" s="56"/>
      <c r="M2" s="56"/>
      <c r="N2" s="56"/>
      <c r="O2" s="219"/>
      <c r="P2" s="219"/>
      <c r="Q2" s="219"/>
      <c r="R2" s="219"/>
      <c r="S2" s="219"/>
      <c r="T2" s="219"/>
      <c r="U2" s="219"/>
    </row>
    <row r="3" s="131" customFormat="1" ht="27.95" customHeight="1" spans="1:14">
      <c r="A3" s="170" t="s">
        <v>198</v>
      </c>
      <c r="B3" s="171" t="s">
        <v>24</v>
      </c>
      <c r="C3" s="124" t="s">
        <v>199</v>
      </c>
      <c r="D3" s="124"/>
      <c r="E3" s="124"/>
      <c r="F3" s="124"/>
      <c r="G3" s="193" t="s">
        <v>200</v>
      </c>
      <c r="H3" s="194"/>
      <c r="I3" s="194"/>
      <c r="J3" s="194"/>
      <c r="K3" s="124" t="s">
        <v>201</v>
      </c>
      <c r="L3" s="124"/>
      <c r="M3" s="124"/>
      <c r="N3" s="124"/>
    </row>
    <row r="4" s="131" customFormat="1" ht="27.95" customHeight="1" spans="1:14">
      <c r="A4" s="195"/>
      <c r="B4" s="196"/>
      <c r="C4" s="124" t="s">
        <v>100</v>
      </c>
      <c r="D4" s="124" t="s">
        <v>101</v>
      </c>
      <c r="E4" s="124" t="s">
        <v>102</v>
      </c>
      <c r="F4" s="124" t="s">
        <v>194</v>
      </c>
      <c r="G4" s="197" t="s">
        <v>202</v>
      </c>
      <c r="H4" s="198" t="s">
        <v>100</v>
      </c>
      <c r="I4" s="198" t="s">
        <v>101</v>
      </c>
      <c r="J4" s="198" t="s">
        <v>102</v>
      </c>
      <c r="K4" s="124" t="s">
        <v>100</v>
      </c>
      <c r="L4" s="124" t="s">
        <v>101</v>
      </c>
      <c r="M4" s="124" t="s">
        <v>102</v>
      </c>
      <c r="N4" s="124" t="s">
        <v>194</v>
      </c>
    </row>
    <row r="5" s="131" customFormat="1" ht="27.95" customHeight="1" spans="1:14">
      <c r="A5" s="172"/>
      <c r="B5" s="173"/>
      <c r="C5" s="326" t="s">
        <v>195</v>
      </c>
      <c r="D5" s="326" t="s">
        <v>169</v>
      </c>
      <c r="E5" s="326" t="s">
        <v>170</v>
      </c>
      <c r="F5" s="326" t="s">
        <v>196</v>
      </c>
      <c r="G5" s="327" t="s">
        <v>203</v>
      </c>
      <c r="H5" s="328" t="s">
        <v>173</v>
      </c>
      <c r="I5" s="328" t="s">
        <v>174</v>
      </c>
      <c r="J5" s="328" t="s">
        <v>175</v>
      </c>
      <c r="K5" s="326" t="s">
        <v>204</v>
      </c>
      <c r="L5" s="326" t="s">
        <v>205</v>
      </c>
      <c r="M5" s="326" t="s">
        <v>206</v>
      </c>
      <c r="N5" s="326" t="s">
        <v>207</v>
      </c>
    </row>
    <row r="6" s="131" customFormat="1" ht="27.95" customHeight="1" spans="1:14">
      <c r="A6" s="199" t="s">
        <v>208</v>
      </c>
      <c r="B6" s="175" t="s">
        <v>209</v>
      </c>
      <c r="C6" s="176">
        <f>'附表5-扣除项目统计表'!E87+'附表5-扣除项目统计表'!I87</f>
        <v>0</v>
      </c>
      <c r="D6" s="176">
        <f>'附表5-扣除项目统计表'!F87+'附表5-扣除项目统计表'!J87</f>
        <v>0</v>
      </c>
      <c r="E6" s="176">
        <f>'附表5-扣除项目统计表'!G87+'附表5-扣除项目统计表'!K87</f>
        <v>0</v>
      </c>
      <c r="F6" s="176">
        <f>SUM(C6:E6)</f>
        <v>0</v>
      </c>
      <c r="G6" s="200"/>
      <c r="H6" s="201"/>
      <c r="I6" s="201"/>
      <c r="J6" s="201"/>
      <c r="K6" s="220">
        <f>SUM(K7)+SUM(K9)+SUM(K17)+SUM(K20)+SUM(K26)+SUM(K27)</f>
        <v>0</v>
      </c>
      <c r="L6" s="220">
        <f>SUM(L7)+SUM(L9)+SUM(L17)+SUM(L20)+SUM(L26)+SUM(L27)</f>
        <v>0</v>
      </c>
      <c r="M6" s="220">
        <f>SUM(M7)+SUM(M9)+SUM(M17)+SUM(M20)+SUM(M26)+SUM(M27)</f>
        <v>0</v>
      </c>
      <c r="N6" s="220">
        <f>SUM(K6:M6)</f>
        <v>0</v>
      </c>
    </row>
    <row r="7" s="131" customFormat="1" ht="27.95" customHeight="1" spans="1:14">
      <c r="A7" s="202" t="s">
        <v>111</v>
      </c>
      <c r="B7" s="175" t="s">
        <v>169</v>
      </c>
      <c r="C7" s="176">
        <f>'附表5-扣除项目统计表'!E6+'附表5-扣除项目统计表'!I6</f>
        <v>0</v>
      </c>
      <c r="D7" s="176">
        <f>'附表5-扣除项目统计表'!F6+'附表5-扣除项目统计表'!J6</f>
        <v>0</v>
      </c>
      <c r="E7" s="176">
        <f>'附表5-扣除项目统计表'!G6+'附表5-扣除项目统计表'!K6</f>
        <v>0</v>
      </c>
      <c r="F7" s="176">
        <f t="shared" ref="F7:F19" si="0">SUM(C7:E7)</f>
        <v>0</v>
      </c>
      <c r="G7" s="203" t="s">
        <v>210</v>
      </c>
      <c r="H7" s="204" t="str">
        <f>IF(OR($G7="可售建筑面积法",$G7="可售建筑面积法（二分法）"),'附表1-面积统计表'!$F$32,IF($G7="其他合理方法","请填写","请选择分摊方法"))</f>
        <v/>
      </c>
      <c r="I7" s="204" t="str">
        <f>IF($G7="可售建筑面积法（二分法）",IF('附表1-面积统计表'!$D$33+'附表1-面积统计表'!$D$34=0,"",ROUND(('附表1-面积统计表'!$E$33+'附表1-面积统计表'!$E$34)/('附表1-面积统计表'!$D$33+'附表1-面积统计表'!$D$34),6)),IF($G7="可售建筑面积法",'附表1-面积统计表'!$F$33,IF($G7="其他合理方法","请填写","请选择分摊方法")))</f>
        <v/>
      </c>
      <c r="J7" s="204" t="str">
        <f>IF($G7="可售建筑面积法（二分法）",IF('附表1-面积统计表'!$D$33+'附表1-面积统计表'!$D$34=0,"",ROUND(('附表1-面积统计表'!$E$33+'附表1-面积统计表'!$E$34)/('附表1-面积统计表'!$D$33+'附表1-面积统计表'!$D$34),6)),IF($G7="可售建筑面积法",'附表1-面积统计表'!$F$34,IF($G7="其他合理方法","请填写","请选择分摊方法")))</f>
        <v/>
      </c>
      <c r="K7" s="220" t="str">
        <f t="shared" ref="K7:K14" si="1">IF(AND(H7&lt;=1,H7&gt;=0),ROUND(C7*H7,2),"请准确填写扣除比例")</f>
        <v>请准确填写扣除比例</v>
      </c>
      <c r="L7" s="220" t="str">
        <f t="shared" ref="L7:L14" si="2">IF(AND(I7&lt;=1,I7&gt;=0),ROUND(D7*I7,2),"请准确填写扣除比例")</f>
        <v>请准确填写扣除比例</v>
      </c>
      <c r="M7" s="220" t="str">
        <f t="shared" ref="M7:M14" si="3">IF(AND(J7&lt;=1,J7&gt;=0),ROUND(E7*J7,2),"请准确填写扣除比例")</f>
        <v>请准确填写扣除比例</v>
      </c>
      <c r="N7" s="220">
        <f t="shared" ref="N7:N27" si="4">SUM(K7:M7)</f>
        <v>0</v>
      </c>
    </row>
    <row r="8" s="131" customFormat="1" ht="27.95" customHeight="1" spans="1:14">
      <c r="A8" s="205" t="s">
        <v>112</v>
      </c>
      <c r="B8" s="175" t="s">
        <v>170</v>
      </c>
      <c r="C8" s="176">
        <f>'附表5-扣除项目统计表'!E10+'附表5-扣除项目统计表'!I10</f>
        <v>0</v>
      </c>
      <c r="D8" s="176">
        <f>'附表5-扣除项目统计表'!F10+'附表5-扣除项目统计表'!J10</f>
        <v>0</v>
      </c>
      <c r="E8" s="176">
        <f>'附表5-扣除项目统计表'!G10+'附表5-扣除项目统计表'!K10</f>
        <v>0</v>
      </c>
      <c r="F8" s="176">
        <f t="shared" si="0"/>
        <v>0</v>
      </c>
      <c r="G8" s="203" t="s">
        <v>210</v>
      </c>
      <c r="H8" s="204" t="str">
        <f>IF(OR($G8="可售建筑面积法",$G8="可售建筑面积法（二分法）"),'附表1-面积统计表'!$F$32,IF($G8="其他合理方法","请填写","请选择分摊方法"))</f>
        <v/>
      </c>
      <c r="I8" s="204" t="str">
        <f>IF($G8="可售建筑面积法（二分法）",IF('附表1-面积统计表'!$D$33+'附表1-面积统计表'!$D$34=0,"",ROUND(('附表1-面积统计表'!$E$33+'附表1-面积统计表'!$E$34)/('附表1-面积统计表'!$D$33+'附表1-面积统计表'!$D$34),6)),IF($G8="可售建筑面积法",'附表1-面积统计表'!$F$33,IF($G8="其他合理方法","请填写","请选择分摊方法")))</f>
        <v/>
      </c>
      <c r="J8" s="204" t="str">
        <f>IF($G8="可售建筑面积法（二分法）",IF('附表1-面积统计表'!$D$33+'附表1-面积统计表'!$D$34=0,"",ROUND(('附表1-面积统计表'!$E$33+'附表1-面积统计表'!$E$34)/('附表1-面积统计表'!$D$33+'附表1-面积统计表'!$D$34),6)),IF($G8="可售建筑面积法",'附表1-面积统计表'!$F$34,IF($G8="其他合理方法","请填写","请选择分摊方法")))</f>
        <v/>
      </c>
      <c r="K8" s="220" t="str">
        <f t="shared" si="1"/>
        <v>请准确填写扣除比例</v>
      </c>
      <c r="L8" s="220" t="str">
        <f t="shared" si="2"/>
        <v>请准确填写扣除比例</v>
      </c>
      <c r="M8" s="220" t="str">
        <f t="shared" si="3"/>
        <v>请准确填写扣除比例</v>
      </c>
      <c r="N8" s="220">
        <f t="shared" si="4"/>
        <v>0</v>
      </c>
    </row>
    <row r="9" s="131" customFormat="1" ht="27.95" customHeight="1" spans="1:14">
      <c r="A9" s="202" t="s">
        <v>114</v>
      </c>
      <c r="B9" s="175" t="s">
        <v>211</v>
      </c>
      <c r="C9" s="176">
        <f>'附表5-扣除项目统计表'!E11+'附表5-扣除项目统计表'!I11</f>
        <v>0</v>
      </c>
      <c r="D9" s="176">
        <f>'附表5-扣除项目统计表'!F11+'附表5-扣除项目统计表'!J11</f>
        <v>0</v>
      </c>
      <c r="E9" s="176">
        <f>'附表5-扣除项目统计表'!G11+'附表5-扣除项目统计表'!K11</f>
        <v>0</v>
      </c>
      <c r="F9" s="176">
        <f t="shared" si="0"/>
        <v>0</v>
      </c>
      <c r="G9" s="201"/>
      <c r="H9" s="201"/>
      <c r="I9" s="201"/>
      <c r="J9" s="201"/>
      <c r="K9" s="220">
        <f>SUM(K10:K15)</f>
        <v>0</v>
      </c>
      <c r="L9" s="220">
        <f>SUM(L10:L15)</f>
        <v>0</v>
      </c>
      <c r="M9" s="220">
        <f>SUM(M10:M15)</f>
        <v>0</v>
      </c>
      <c r="N9" s="220">
        <f t="shared" si="4"/>
        <v>0</v>
      </c>
    </row>
    <row r="10" s="131" customFormat="1" ht="27.95" customHeight="1" spans="1:14">
      <c r="A10" s="205" t="s">
        <v>116</v>
      </c>
      <c r="B10" s="175" t="s">
        <v>203</v>
      </c>
      <c r="C10" s="176">
        <f>'附表5-扣除项目统计表'!E12+'附表5-扣除项目统计表'!I12</f>
        <v>0</v>
      </c>
      <c r="D10" s="176">
        <f>'附表5-扣除项目统计表'!F12+'附表5-扣除项目统计表'!J12</f>
        <v>0</v>
      </c>
      <c r="E10" s="176">
        <f>'附表5-扣除项目统计表'!G12+'附表5-扣除项目统计表'!K12</f>
        <v>0</v>
      </c>
      <c r="F10" s="176">
        <f t="shared" si="0"/>
        <v>0</v>
      </c>
      <c r="G10" s="203" t="s">
        <v>210</v>
      </c>
      <c r="H10" s="204" t="str">
        <f>IF(OR($G10="可售建筑面积法",$G10="可售建筑面积法（二分法）"),'附表1-面积统计表'!$F$32,IF($G10="其他合理方法","请填写","请选择分摊方法"))</f>
        <v/>
      </c>
      <c r="I10" s="204" t="str">
        <f>IF($G10="可售建筑面积法（二分法）",IF('附表1-面积统计表'!$D$33+'附表1-面积统计表'!$D$34=0,"",ROUND(('附表1-面积统计表'!$E$33+'附表1-面积统计表'!$E$34)/('附表1-面积统计表'!$D$33+'附表1-面积统计表'!$D$34),6)),IF($G10="可售建筑面积法",'附表1-面积统计表'!$F$33,IF($G10="其他合理方法","请填写","请选择分摊方法")))</f>
        <v/>
      </c>
      <c r="J10" s="204" t="str">
        <f>IF($G10="可售建筑面积法（二分法）",IF('附表1-面积统计表'!$D$33+'附表1-面积统计表'!$D$34=0,"",ROUND(('附表1-面积统计表'!$E$33+'附表1-面积统计表'!$E$34)/('附表1-面积统计表'!$D$33+'附表1-面积统计表'!$D$34),6)),IF($G10="可售建筑面积法",'附表1-面积统计表'!$F$34,IF($G10="其他合理方法","请填写","请选择分摊方法")))</f>
        <v/>
      </c>
      <c r="K10" s="220" t="str">
        <f t="shared" si="1"/>
        <v>请准确填写扣除比例</v>
      </c>
      <c r="L10" s="220" t="str">
        <f t="shared" si="2"/>
        <v>请准确填写扣除比例</v>
      </c>
      <c r="M10" s="220" t="str">
        <f t="shared" si="3"/>
        <v>请准确填写扣除比例</v>
      </c>
      <c r="N10" s="220">
        <f t="shared" si="4"/>
        <v>0</v>
      </c>
    </row>
    <row r="11" s="131" customFormat="1" ht="27.95" customHeight="1" spans="1:14">
      <c r="A11" s="205" t="s">
        <v>117</v>
      </c>
      <c r="B11" s="175" t="s">
        <v>173</v>
      </c>
      <c r="C11" s="176">
        <f>'附表5-扣除项目统计表'!E19+'附表5-扣除项目统计表'!I19</f>
        <v>0</v>
      </c>
      <c r="D11" s="176">
        <f>'附表5-扣除项目统计表'!F19+'附表5-扣除项目统计表'!J19</f>
        <v>0</v>
      </c>
      <c r="E11" s="176">
        <f>'附表5-扣除项目统计表'!G19+'附表5-扣除项目统计表'!K19</f>
        <v>0</v>
      </c>
      <c r="F11" s="176">
        <f t="shared" si="0"/>
        <v>0</v>
      </c>
      <c r="G11" s="203" t="s">
        <v>210</v>
      </c>
      <c r="H11" s="204" t="str">
        <f>IF(OR($G11="可售建筑面积法",$G11="可售建筑面积法（二分法）"),'附表1-面积统计表'!$F$32,IF($G11="其他合理方法","请填写","请选择分摊方法"))</f>
        <v/>
      </c>
      <c r="I11" s="204" t="str">
        <f>IF($G11="可售建筑面积法（二分法）",IF('附表1-面积统计表'!$D$33+'附表1-面积统计表'!$D$34=0,"",ROUND(('附表1-面积统计表'!$E$33+'附表1-面积统计表'!$E$34)/('附表1-面积统计表'!$D$33+'附表1-面积统计表'!$D$34),6)),IF($G11="可售建筑面积法",'附表1-面积统计表'!$F$33,IF($G11="其他合理方法","请填写","请选择分摊方法")))</f>
        <v/>
      </c>
      <c r="J11" s="204" t="str">
        <f>IF($G11="可售建筑面积法（二分法）",IF('附表1-面积统计表'!$D$33+'附表1-面积统计表'!$D$34=0,"",ROUND(('附表1-面积统计表'!$E$33+'附表1-面积统计表'!$E$34)/('附表1-面积统计表'!$D$33+'附表1-面积统计表'!$D$34),6)),IF($G11="可售建筑面积法",'附表1-面积统计表'!$F$34,IF($G11="其他合理方法","请填写","请选择分摊方法")))</f>
        <v/>
      </c>
      <c r="K11" s="220" t="str">
        <f t="shared" si="1"/>
        <v>请准确填写扣除比例</v>
      </c>
      <c r="L11" s="220" t="str">
        <f t="shared" si="2"/>
        <v>请准确填写扣除比例</v>
      </c>
      <c r="M11" s="220" t="str">
        <f t="shared" si="3"/>
        <v>请准确填写扣除比例</v>
      </c>
      <c r="N11" s="220">
        <f t="shared" si="4"/>
        <v>0</v>
      </c>
    </row>
    <row r="12" s="131" customFormat="1" ht="27.95" customHeight="1" spans="1:14">
      <c r="A12" s="205" t="s">
        <v>118</v>
      </c>
      <c r="B12" s="175" t="s">
        <v>174</v>
      </c>
      <c r="C12" s="176">
        <f>'附表5-扣除项目统计表'!E29+'附表5-扣除项目统计表'!I29</f>
        <v>0</v>
      </c>
      <c r="D12" s="176">
        <f>'附表5-扣除项目统计表'!F29+'附表5-扣除项目统计表'!J29</f>
        <v>0</v>
      </c>
      <c r="E12" s="176">
        <f>'附表5-扣除项目统计表'!G29+'附表5-扣除项目统计表'!K29</f>
        <v>0</v>
      </c>
      <c r="F12" s="176">
        <f t="shared" si="0"/>
        <v>0</v>
      </c>
      <c r="G12" s="203" t="s">
        <v>210</v>
      </c>
      <c r="H12" s="204" t="str">
        <f>IF(OR($G12="可售建筑面积法",$G12="可售建筑面积法（二分法）"),'附表1-面积统计表'!$F$32,IF($G12="其他合理方法","请填写","请选择分摊方法"))</f>
        <v/>
      </c>
      <c r="I12" s="204" t="str">
        <f>IF($G12="可售建筑面积法（二分法）",IF('附表1-面积统计表'!$D$33+'附表1-面积统计表'!$D$34=0,"",ROUND(('附表1-面积统计表'!$E$33+'附表1-面积统计表'!$E$34)/('附表1-面积统计表'!$D$33+'附表1-面积统计表'!$D$34),6)),IF($G12="可售建筑面积法",'附表1-面积统计表'!$F$33,IF($G12="其他合理方法","请填写","请选择分摊方法")))</f>
        <v/>
      </c>
      <c r="J12" s="204" t="str">
        <f>IF($G12="可售建筑面积法（二分法）",IF('附表1-面积统计表'!$D$33+'附表1-面积统计表'!$D$34=0,"",ROUND(('附表1-面积统计表'!$E$33+'附表1-面积统计表'!$E$34)/('附表1-面积统计表'!$D$33+'附表1-面积统计表'!$D$34),6)),IF($G12="可售建筑面积法",'附表1-面积统计表'!$F$34,IF($G12="其他合理方法","请填写","请选择分摊方法")))</f>
        <v/>
      </c>
      <c r="K12" s="220" t="str">
        <f t="shared" si="1"/>
        <v>请准确填写扣除比例</v>
      </c>
      <c r="L12" s="220" t="str">
        <f t="shared" si="2"/>
        <v>请准确填写扣除比例</v>
      </c>
      <c r="M12" s="220" t="str">
        <f t="shared" si="3"/>
        <v>请准确填写扣除比例</v>
      </c>
      <c r="N12" s="220">
        <f t="shared" si="4"/>
        <v>0</v>
      </c>
    </row>
    <row r="13" s="131" customFormat="1" ht="27.95" customHeight="1" spans="1:14">
      <c r="A13" s="205" t="s">
        <v>119</v>
      </c>
      <c r="B13" s="175" t="s">
        <v>175</v>
      </c>
      <c r="C13" s="176">
        <f>'附表5-扣除项目统计表'!E36+'附表5-扣除项目统计表'!I36</f>
        <v>0</v>
      </c>
      <c r="D13" s="176">
        <f>'附表5-扣除项目统计表'!F36+'附表5-扣除项目统计表'!J36</f>
        <v>0</v>
      </c>
      <c r="E13" s="176">
        <f>'附表5-扣除项目统计表'!G36+'附表5-扣除项目统计表'!K36</f>
        <v>0</v>
      </c>
      <c r="F13" s="176">
        <f t="shared" si="0"/>
        <v>0</v>
      </c>
      <c r="G13" s="203" t="s">
        <v>210</v>
      </c>
      <c r="H13" s="204" t="str">
        <f>IF(OR($G13="可售建筑面积法",$G13="可售建筑面积法（二分法）"),'附表1-面积统计表'!$F$32,IF($G13="其他合理方法","请填写","请选择分摊方法"))</f>
        <v/>
      </c>
      <c r="I13" s="204" t="str">
        <f>IF($G13="可售建筑面积法（二分法）",IF('附表1-面积统计表'!$D$33+'附表1-面积统计表'!$D$34=0,"",ROUND(('附表1-面积统计表'!$E$33+'附表1-面积统计表'!$E$34)/('附表1-面积统计表'!$D$33+'附表1-面积统计表'!$D$34),6)),IF($G13="可售建筑面积法",'附表1-面积统计表'!$F$33,IF($G13="其他合理方法","请填写","请选择分摊方法")))</f>
        <v/>
      </c>
      <c r="J13" s="204" t="str">
        <f>IF($G13="可售建筑面积法（二分法）",IF('附表1-面积统计表'!$D$33+'附表1-面积统计表'!$D$34=0,"",ROUND(('附表1-面积统计表'!$E$33+'附表1-面积统计表'!$E$34)/('附表1-面积统计表'!$D$33+'附表1-面积统计表'!$D$34),6)),IF($G13="可售建筑面积法",'附表1-面积统计表'!$F$34,IF($G13="其他合理方法","请填写","请选择分摊方法")))</f>
        <v/>
      </c>
      <c r="K13" s="220" t="str">
        <f t="shared" si="1"/>
        <v>请准确填写扣除比例</v>
      </c>
      <c r="L13" s="220" t="str">
        <f t="shared" si="2"/>
        <v>请准确填写扣除比例</v>
      </c>
      <c r="M13" s="220" t="str">
        <f t="shared" si="3"/>
        <v>请准确填写扣除比例</v>
      </c>
      <c r="N13" s="220">
        <f t="shared" si="4"/>
        <v>0</v>
      </c>
    </row>
    <row r="14" s="184" customFormat="1" ht="27.95" customHeight="1" spans="1:14">
      <c r="A14" s="205" t="s">
        <v>120</v>
      </c>
      <c r="B14" s="175" t="s">
        <v>182</v>
      </c>
      <c r="C14" s="176">
        <f>'附表5-扣除项目统计表'!E48+'附表5-扣除项目统计表'!I48</f>
        <v>0</v>
      </c>
      <c r="D14" s="176">
        <f>'附表5-扣除项目统计表'!F48+'附表5-扣除项目统计表'!J48</f>
        <v>0</v>
      </c>
      <c r="E14" s="176">
        <f>'附表5-扣除项目统计表'!G48+'附表5-扣除项目统计表'!K48</f>
        <v>0</v>
      </c>
      <c r="F14" s="176">
        <f t="shared" si="0"/>
        <v>0</v>
      </c>
      <c r="G14" s="203" t="s">
        <v>210</v>
      </c>
      <c r="H14" s="204" t="str">
        <f>IF(OR($G14="可售建筑面积法",$G14="可售建筑面积法（二分法）"),'附表1-面积统计表'!$F$32,IF($G14="其他合理方法","请填写","请选择分摊方法"))</f>
        <v/>
      </c>
      <c r="I14" s="204" t="str">
        <f>IF($G14="可售建筑面积法（二分法）",IF('附表1-面积统计表'!$D$33+'附表1-面积统计表'!$D$34=0,"",ROUND(('附表1-面积统计表'!$E$33+'附表1-面积统计表'!$E$34)/('附表1-面积统计表'!$D$33+'附表1-面积统计表'!$D$34),6)),IF($G14="可售建筑面积法",'附表1-面积统计表'!$F$33,IF($G14="其他合理方法","请填写","请选择分摊方法")))</f>
        <v/>
      </c>
      <c r="J14" s="204" t="str">
        <f>IF($G14="可售建筑面积法（二分法）",IF('附表1-面积统计表'!$D$33+'附表1-面积统计表'!$D$34=0,"",ROUND(('附表1-面积统计表'!$E$33+'附表1-面积统计表'!$E$34)/('附表1-面积统计表'!$D$33+'附表1-面积统计表'!$D$34),6)),IF($G14="可售建筑面积法",'附表1-面积统计表'!$F$34,IF($G14="其他合理方法","请填写","请选择分摊方法")))</f>
        <v/>
      </c>
      <c r="K14" s="220" t="str">
        <f t="shared" si="1"/>
        <v>请准确填写扣除比例</v>
      </c>
      <c r="L14" s="220" t="str">
        <f t="shared" si="2"/>
        <v>请准确填写扣除比例</v>
      </c>
      <c r="M14" s="220" t="str">
        <f t="shared" si="3"/>
        <v>请准确填写扣除比例</v>
      </c>
      <c r="N14" s="220">
        <f t="shared" si="4"/>
        <v>0</v>
      </c>
    </row>
    <row r="15" s="184" customFormat="1" ht="27.95" customHeight="1" spans="1:14">
      <c r="A15" s="205" t="s">
        <v>121</v>
      </c>
      <c r="B15" s="175" t="s">
        <v>183</v>
      </c>
      <c r="C15" s="176">
        <f>'附表5-扣除项目统计表'!E65+'附表5-扣除项目统计表'!I65</f>
        <v>0</v>
      </c>
      <c r="D15" s="176">
        <f>'附表5-扣除项目统计表'!F65+'附表5-扣除项目统计表'!J65</f>
        <v>0</v>
      </c>
      <c r="E15" s="176">
        <f>'附表5-扣除项目统计表'!G65+'附表5-扣除项目统计表'!K65</f>
        <v>0</v>
      </c>
      <c r="F15" s="176">
        <f t="shared" si="0"/>
        <v>0</v>
      </c>
      <c r="G15" s="203" t="s">
        <v>210</v>
      </c>
      <c r="H15" s="204" t="str">
        <f>IF(OR($G15="可售建筑面积法",$G15="可售建筑面积法（二分法）"),'附表1-面积统计表'!$F$32,IF($G15="其他合理方法","请填写","请选择分摊方法"))</f>
        <v/>
      </c>
      <c r="I15" s="204" t="str">
        <f>IF($G15="可售建筑面积法（二分法）",IF('附表1-面积统计表'!$D$33+'附表1-面积统计表'!$D$34=0,"",ROUND(('附表1-面积统计表'!$E$33+'附表1-面积统计表'!$E$34)/('附表1-面积统计表'!$D$33+'附表1-面积统计表'!$D$34),6)),IF($G15="可售建筑面积法",'附表1-面积统计表'!$F$33,IF($G15="其他合理方法","请填写","请选择分摊方法")))</f>
        <v/>
      </c>
      <c r="J15" s="204" t="str">
        <f>IF($G15="可售建筑面积法（二分法）",IF('附表1-面积统计表'!$D$33+'附表1-面积统计表'!$D$34=0,"",ROUND(('附表1-面积统计表'!$E$33+'附表1-面积统计表'!$E$34)/('附表1-面积统计表'!$D$33+'附表1-面积统计表'!$D$34),6)),IF($G15="可售建筑面积法",'附表1-面积统计表'!$F$34,IF($G15="其他合理方法","请填写","请选择分摊方法")))</f>
        <v/>
      </c>
      <c r="K15" s="220" t="str">
        <f t="shared" ref="K15:M16" si="5">IF(AND(H15&lt;=1,H15&gt;=0),ROUND(C15*H15,2),"请准确填写扣除比例")</f>
        <v>请准确填写扣除比例</v>
      </c>
      <c r="L15" s="220" t="str">
        <f t="shared" si="5"/>
        <v>请准确填写扣除比例</v>
      </c>
      <c r="M15" s="220" t="str">
        <f t="shared" si="5"/>
        <v>请准确填写扣除比例</v>
      </c>
      <c r="N15" s="220">
        <f t="shared" si="4"/>
        <v>0</v>
      </c>
    </row>
    <row r="16" s="184" customFormat="1" ht="27.95" customHeight="1" spans="1:14">
      <c r="A16" s="205" t="s">
        <v>112</v>
      </c>
      <c r="B16" s="175" t="s">
        <v>212</v>
      </c>
      <c r="C16" s="176">
        <f>'附表5-扣除项目统计表'!E75+'附表5-扣除项目统计表'!I75</f>
        <v>0</v>
      </c>
      <c r="D16" s="176">
        <f>'附表5-扣除项目统计表'!F75+'附表5-扣除项目统计表'!J75</f>
        <v>0</v>
      </c>
      <c r="E16" s="176">
        <f>'附表5-扣除项目统计表'!G75+'附表5-扣除项目统计表'!K75</f>
        <v>0</v>
      </c>
      <c r="F16" s="176">
        <f t="shared" si="0"/>
        <v>0</v>
      </c>
      <c r="G16" s="203" t="s">
        <v>210</v>
      </c>
      <c r="H16" s="204" t="str">
        <f>IF(OR($G16="可售建筑面积法",$G16="可售建筑面积法（二分法）"),'附表1-面积统计表'!$F$32,IF($G16="其他合理方法","请填写","请选择分摊方法"))</f>
        <v/>
      </c>
      <c r="I16" s="204" t="str">
        <f>IF($G16="可售建筑面积法（二分法）",IF('附表1-面积统计表'!$D$33+'附表1-面积统计表'!$D$34=0,"",ROUND(('附表1-面积统计表'!$E$33+'附表1-面积统计表'!$E$34)/('附表1-面积统计表'!$D$33+'附表1-面积统计表'!$D$34),6)),IF($G16="可售建筑面积法",'附表1-面积统计表'!$F$33,IF($G16="其他合理方法","请填写","请选择分摊方法")))</f>
        <v/>
      </c>
      <c r="J16" s="204" t="str">
        <f>IF($G16="可售建筑面积法（二分法）",IF('附表1-面积统计表'!$D$33+'附表1-面积统计表'!$D$34=0,"",ROUND(('附表1-面积统计表'!$E$33+'附表1-面积统计表'!$E$34)/('附表1-面积统计表'!$D$33+'附表1-面积统计表'!$D$34),6)),IF($G16="可售建筑面积法",'附表1-面积统计表'!$F$34,IF($G16="其他合理方法","请填写","请选择分摊方法")))</f>
        <v/>
      </c>
      <c r="K16" s="220" t="str">
        <f t="shared" si="5"/>
        <v>请准确填写扣除比例</v>
      </c>
      <c r="L16" s="220" t="str">
        <f t="shared" si="5"/>
        <v>请准确填写扣除比例</v>
      </c>
      <c r="M16" s="220" t="str">
        <f t="shared" si="5"/>
        <v>请准确填写扣除比例</v>
      </c>
      <c r="N16" s="220">
        <f t="shared" si="4"/>
        <v>0</v>
      </c>
    </row>
    <row r="17" s="184" customFormat="1" ht="27.95" customHeight="1" spans="1:14">
      <c r="A17" s="202" t="s">
        <v>123</v>
      </c>
      <c r="B17" s="175" t="s">
        <v>213</v>
      </c>
      <c r="C17" s="176">
        <f>'附表5-扣除项目统计表'!E76+'附表5-扣除项目统计表'!I76</f>
        <v>0</v>
      </c>
      <c r="D17" s="176">
        <f>'附表5-扣除项目统计表'!F76+'附表5-扣除项目统计表'!J76</f>
        <v>0</v>
      </c>
      <c r="E17" s="176">
        <f>'附表5-扣除项目统计表'!G76+'附表5-扣除项目统计表'!K76</f>
        <v>0</v>
      </c>
      <c r="F17" s="176">
        <f t="shared" si="0"/>
        <v>0</v>
      </c>
      <c r="G17" s="201"/>
      <c r="H17" s="201"/>
      <c r="I17" s="201"/>
      <c r="J17" s="201"/>
      <c r="K17" s="220">
        <f>SUM(K18:K19)</f>
        <v>0</v>
      </c>
      <c r="L17" s="220">
        <f>SUM(L18:L19)</f>
        <v>0</v>
      </c>
      <c r="M17" s="220">
        <f>SUM(M18:M19)</f>
        <v>0</v>
      </c>
      <c r="N17" s="220">
        <f t="shared" si="4"/>
        <v>0</v>
      </c>
    </row>
    <row r="18" s="131" customFormat="1" ht="27.95" customHeight="1" spans="1:14">
      <c r="A18" s="205" t="s">
        <v>125</v>
      </c>
      <c r="B18" s="175" t="s">
        <v>186</v>
      </c>
      <c r="C18" s="176">
        <f>'附表5-扣除项目统计表'!E77+'附表5-扣除项目统计表'!I77</f>
        <v>0</v>
      </c>
      <c r="D18" s="176">
        <f>'附表5-扣除项目统计表'!F77+'附表5-扣除项目统计表'!J77</f>
        <v>0</v>
      </c>
      <c r="E18" s="176">
        <f>'附表5-扣除项目统计表'!G77+'附表5-扣除项目统计表'!K77</f>
        <v>0</v>
      </c>
      <c r="F18" s="176">
        <f t="shared" si="0"/>
        <v>0</v>
      </c>
      <c r="G18" s="203" t="s">
        <v>210</v>
      </c>
      <c r="H18" s="204" t="str">
        <f>IF(OR($G18="可售建筑面积法",$G18="可售建筑面积法（二分法）"),'附表1-面积统计表'!$F$32,IF($G18="其他合理方法","请填写","请选择分摊方法"))</f>
        <v/>
      </c>
      <c r="I18" s="204" t="str">
        <f>IF($G18="可售建筑面积法（二分法）",IF('附表1-面积统计表'!$D$33+'附表1-面积统计表'!$D$34=0,"",ROUND(('附表1-面积统计表'!$E$33+'附表1-面积统计表'!$E$34)/('附表1-面积统计表'!$D$33+'附表1-面积统计表'!$D$34),6)),IF($G18="可售建筑面积法",'附表1-面积统计表'!$F$33,IF($G18="其他合理方法","请填写","请选择分摊方法")))</f>
        <v/>
      </c>
      <c r="J18" s="204" t="str">
        <f>IF($G18="可售建筑面积法（二分法）",IF('附表1-面积统计表'!$D$33+'附表1-面积统计表'!$D$34=0,"",ROUND(('附表1-面积统计表'!$E$33+'附表1-面积统计表'!$E$34)/('附表1-面积统计表'!$D$33+'附表1-面积统计表'!$D$34),6)),IF($G18="可售建筑面积法",'附表1-面积统计表'!$F$34,IF($G18="其他合理方法","请填写","请选择分摊方法")))</f>
        <v/>
      </c>
      <c r="K18" s="220">
        <f>IF('附表5-扣除项目统计表'!$D$77="据实扣除",IF(AND(H18&lt;=1,H18&gt;=0),ROUND(C18*H18,2),"请准确填写扣除比例"),0)</f>
        <v>0</v>
      </c>
      <c r="L18" s="220">
        <f>IF('附表5-扣除项目统计表'!$D$77="据实扣除",IF(AND(I18&lt;=1,I18&gt;=0),ROUND(D18*I18,2),"请准确填写扣除比例"),0)</f>
        <v>0</v>
      </c>
      <c r="M18" s="220">
        <f>IF('附表5-扣除项目统计表'!$D$77="据实扣除",IF(AND(J18&lt;=1,J18&gt;=0),ROUND(E18*J18,2),"请准确填写扣除比例"),0)</f>
        <v>0</v>
      </c>
      <c r="N18" s="220">
        <f t="shared" si="4"/>
        <v>0</v>
      </c>
    </row>
    <row r="19" s="131" customFormat="1" ht="27.95" customHeight="1" spans="1:14">
      <c r="A19" s="205" t="s">
        <v>126</v>
      </c>
      <c r="B19" s="175" t="s">
        <v>187</v>
      </c>
      <c r="C19" s="176">
        <f>'附表5-扣除项目统计表'!E78+'附表5-扣除项目统计表'!I78</f>
        <v>0</v>
      </c>
      <c r="D19" s="176">
        <f>'附表5-扣除项目统计表'!F78+'附表5-扣除项目统计表'!J78</f>
        <v>0</v>
      </c>
      <c r="E19" s="176">
        <f>'附表5-扣除项目统计表'!G78+'附表5-扣除项目统计表'!K78</f>
        <v>0</v>
      </c>
      <c r="F19" s="176">
        <f t="shared" si="0"/>
        <v>0</v>
      </c>
      <c r="G19" s="201"/>
      <c r="H19" s="201"/>
      <c r="I19" s="201"/>
      <c r="J19" s="201"/>
      <c r="K19" s="220">
        <f>ROUND(IF('附表5-扣除项目统计表'!$D$77="计算扣除",((SUM(K7)-SUM(K8))+(SUM(K9)-SUM(K16)))*10%,((SUM(K7)-SUM(K8))+(SUM(K9)-SUM(K16)))*5%),2)</f>
        <v>0</v>
      </c>
      <c r="L19" s="220">
        <f>ROUND(IF('附表5-扣除项目统计表'!$D$77="计算扣除",((SUM(L7)-SUM(L8))+(SUM(L9)-SUM(L16)))*10%,((SUM(L7)-SUM(L8))+(SUM(L9)-SUM(L16)))*5%),2)</f>
        <v>0</v>
      </c>
      <c r="M19" s="220">
        <f>ROUND(IF('附表5-扣除项目统计表'!$D$77="计算扣除",((SUM(M7)-SUM(M8))+(SUM(M9)-SUM(M16)))*10%,((SUM(M7)-SUM(M8))+(SUM(M9)-SUM(M16)))*5%),2)</f>
        <v>0</v>
      </c>
      <c r="N19" s="220">
        <f t="shared" si="4"/>
        <v>0</v>
      </c>
    </row>
    <row r="20" s="131" customFormat="1" ht="27.95" customHeight="1" spans="1:14">
      <c r="A20" s="202" t="s">
        <v>127</v>
      </c>
      <c r="B20" s="175" t="s">
        <v>214</v>
      </c>
      <c r="C20" s="206"/>
      <c r="D20" s="206"/>
      <c r="E20" s="206"/>
      <c r="F20" s="206"/>
      <c r="G20" s="207"/>
      <c r="H20" s="207"/>
      <c r="I20" s="201"/>
      <c r="J20" s="201"/>
      <c r="K20" s="220">
        <f>SUM(K21:K25)</f>
        <v>0</v>
      </c>
      <c r="L20" s="220">
        <f>SUM(L21:L25)</f>
        <v>0</v>
      </c>
      <c r="M20" s="220">
        <f>SUM(M21:M25)</f>
        <v>0</v>
      </c>
      <c r="N20" s="220">
        <f t="shared" si="4"/>
        <v>0</v>
      </c>
    </row>
    <row r="21" s="131" customFormat="1" ht="27.95" customHeight="1" spans="1:14">
      <c r="A21" s="205" t="s">
        <v>129</v>
      </c>
      <c r="B21" s="175" t="s">
        <v>215</v>
      </c>
      <c r="C21" s="206"/>
      <c r="D21" s="206"/>
      <c r="E21" s="206"/>
      <c r="F21" s="206"/>
      <c r="G21" s="207"/>
      <c r="H21" s="207"/>
      <c r="I21" s="201"/>
      <c r="J21" s="201"/>
      <c r="K21" s="220">
        <f>SUM('附表5-扣除项目统计表'!E80)</f>
        <v>0</v>
      </c>
      <c r="L21" s="220">
        <f>SUM('附表5-扣除项目统计表'!F80)</f>
        <v>0</v>
      </c>
      <c r="M21" s="220">
        <f>SUM('附表5-扣除项目统计表'!G80)</f>
        <v>0</v>
      </c>
      <c r="N21" s="220">
        <f t="shared" si="4"/>
        <v>0</v>
      </c>
    </row>
    <row r="22" s="131" customFormat="1" ht="27.95" customHeight="1" spans="1:14">
      <c r="A22" s="205" t="s">
        <v>130</v>
      </c>
      <c r="B22" s="175" t="s">
        <v>216</v>
      </c>
      <c r="C22" s="206"/>
      <c r="D22" s="206"/>
      <c r="E22" s="206"/>
      <c r="F22" s="206"/>
      <c r="G22" s="207"/>
      <c r="H22" s="207"/>
      <c r="I22" s="201"/>
      <c r="J22" s="201"/>
      <c r="K22" s="220">
        <f>SUM('附表5-扣除项目统计表'!E81)</f>
        <v>0</v>
      </c>
      <c r="L22" s="220">
        <f>SUM('附表5-扣除项目统计表'!F81)</f>
        <v>0</v>
      </c>
      <c r="M22" s="220">
        <f>SUM('附表5-扣除项目统计表'!G81)</f>
        <v>0</v>
      </c>
      <c r="N22" s="220">
        <f t="shared" si="4"/>
        <v>0</v>
      </c>
    </row>
    <row r="23" s="131" customFormat="1" ht="27.95" customHeight="1" spans="1:14">
      <c r="A23" s="205" t="s">
        <v>131</v>
      </c>
      <c r="B23" s="175" t="s">
        <v>217</v>
      </c>
      <c r="C23" s="206"/>
      <c r="D23" s="206"/>
      <c r="E23" s="206"/>
      <c r="F23" s="206"/>
      <c r="G23" s="207"/>
      <c r="H23" s="207"/>
      <c r="I23" s="201"/>
      <c r="J23" s="201"/>
      <c r="K23" s="220">
        <f>SUM('附表5-扣除项目统计表'!E82)</f>
        <v>0</v>
      </c>
      <c r="L23" s="220">
        <f>SUM('附表5-扣除项目统计表'!F82)</f>
        <v>0</v>
      </c>
      <c r="M23" s="220">
        <f>SUM('附表5-扣除项目统计表'!G82)</f>
        <v>0</v>
      </c>
      <c r="N23" s="220">
        <f t="shared" si="4"/>
        <v>0</v>
      </c>
    </row>
    <row r="24" s="131" customFormat="1" ht="27.95" customHeight="1" spans="1:14">
      <c r="A24" s="205" t="s">
        <v>218</v>
      </c>
      <c r="B24" s="175" t="s">
        <v>219</v>
      </c>
      <c r="C24" s="206"/>
      <c r="D24" s="206"/>
      <c r="E24" s="206"/>
      <c r="F24" s="206"/>
      <c r="G24" s="207"/>
      <c r="H24" s="207"/>
      <c r="I24" s="201"/>
      <c r="J24" s="201"/>
      <c r="K24" s="220">
        <f>SUM('附表5-扣除项目统计表'!E83)</f>
        <v>0</v>
      </c>
      <c r="L24" s="220">
        <f>SUM('附表5-扣除项目统计表'!F83)</f>
        <v>0</v>
      </c>
      <c r="M24" s="220">
        <f>SUM('附表5-扣除项目统计表'!G83)</f>
        <v>0</v>
      </c>
      <c r="N24" s="220">
        <f t="shared" si="4"/>
        <v>0</v>
      </c>
    </row>
    <row r="25" s="131" customFormat="1" ht="27.95" customHeight="1" spans="1:14">
      <c r="A25" s="205" t="s">
        <v>220</v>
      </c>
      <c r="B25" s="175" t="s">
        <v>221</v>
      </c>
      <c r="C25" s="206"/>
      <c r="D25" s="206"/>
      <c r="E25" s="206"/>
      <c r="F25" s="206"/>
      <c r="G25" s="207"/>
      <c r="H25" s="207"/>
      <c r="I25" s="201"/>
      <c r="J25" s="201"/>
      <c r="K25" s="220">
        <f>SUM('附表5-扣除项目统计表'!E84)</f>
        <v>0</v>
      </c>
      <c r="L25" s="220">
        <f>SUM('附表5-扣除项目统计表'!F84)</f>
        <v>0</v>
      </c>
      <c r="M25" s="220">
        <f>SUM('附表5-扣除项目统计表'!G84)</f>
        <v>0</v>
      </c>
      <c r="N25" s="220">
        <f t="shared" si="4"/>
        <v>0</v>
      </c>
    </row>
    <row r="26" s="131" customFormat="1" ht="27.95" customHeight="1" spans="1:14">
      <c r="A26" s="202" t="s">
        <v>132</v>
      </c>
      <c r="B26" s="175" t="s">
        <v>222</v>
      </c>
      <c r="C26" s="176">
        <f>'附表5-扣除项目统计表'!E85+'附表5-扣除项目统计表'!I85</f>
        <v>0</v>
      </c>
      <c r="D26" s="176">
        <f>'附表5-扣除项目统计表'!F85+'附表5-扣除项目统计表'!J85</f>
        <v>0</v>
      </c>
      <c r="E26" s="176">
        <f>'附表5-扣除项目统计表'!G85+'附表5-扣除项目统计表'!K85</f>
        <v>0</v>
      </c>
      <c r="F26" s="176">
        <f>SUM(C26:E26)</f>
        <v>0</v>
      </c>
      <c r="G26" s="207"/>
      <c r="H26" s="207"/>
      <c r="I26" s="201"/>
      <c r="J26" s="201"/>
      <c r="K26" s="220">
        <f>ROUND((SUM(K7)-SUM(K8)+SUM(K9)-SUM(K16))*20%,2)</f>
        <v>0</v>
      </c>
      <c r="L26" s="220">
        <f>ROUND((SUM(L7)-SUM(L8)+SUM(L9)-SUM(L16))*20%,2)</f>
        <v>0</v>
      </c>
      <c r="M26" s="220">
        <f>ROUND((SUM(M7)-SUM(M8)+SUM(M9)-SUM(M16))*20%,2)</f>
        <v>0</v>
      </c>
      <c r="N26" s="220">
        <f t="shared" si="4"/>
        <v>0</v>
      </c>
    </row>
    <row r="27" s="131" customFormat="1" ht="27.95" customHeight="1" spans="1:14">
      <c r="A27" s="202" t="s">
        <v>133</v>
      </c>
      <c r="B27" s="175" t="s">
        <v>223</v>
      </c>
      <c r="C27" s="176">
        <f>SUM('附表5-扣除项目统计表'!E86)+SUM('附表5-扣除项目统计表'!I86)</f>
        <v>0</v>
      </c>
      <c r="D27" s="176">
        <f>SUM('附表5-扣除项目统计表'!F86)+SUM('附表5-扣除项目统计表'!J86)</f>
        <v>0</v>
      </c>
      <c r="E27" s="176">
        <f>SUM('附表5-扣除项目统计表'!G86)+SUM('附表5-扣除项目统计表'!K86)</f>
        <v>0</v>
      </c>
      <c r="F27" s="176">
        <f>SUM(C27:E27)</f>
        <v>0</v>
      </c>
      <c r="G27" s="203" t="s">
        <v>210</v>
      </c>
      <c r="H27" s="204" t="str">
        <f>IF(OR($G27="可售建筑面积法",$G27="可售建筑面积法（二分法）"),'附表1-面积统计表'!$F$32,IF($G27="其他合理方法","请填写","请选择分摊方法"))</f>
        <v/>
      </c>
      <c r="I27" s="204" t="str">
        <f>IF($G27="可售建筑面积法（二分法）",IF('附表1-面积统计表'!$D$33+'附表1-面积统计表'!$D$34=0,"",ROUND(('附表1-面积统计表'!$E$33+'附表1-面积统计表'!$E$34)/('附表1-面积统计表'!$D$33+'附表1-面积统计表'!$D$34),6)),IF($G27="可售建筑面积法",'附表1-面积统计表'!$F$33,IF($G27="其他合理方法","请填写","请选择分摊方法")))</f>
        <v/>
      </c>
      <c r="J27" s="204" t="str">
        <f>IF($G27="可售建筑面积法（二分法）",IF('附表1-面积统计表'!$D$33+'附表1-面积统计表'!$D$34=0,"",ROUND(('附表1-面积统计表'!$E$33+'附表1-面积统计表'!$E$34)/('附表1-面积统计表'!$D$33+'附表1-面积统计表'!$D$34),6)),IF($G27="可售建筑面积法",'附表1-面积统计表'!$F$34,IF($G27="其他合理方法","请填写","请选择分摊方法")))</f>
        <v/>
      </c>
      <c r="K27" s="220" t="str">
        <f>IF(AND(H27&lt;=1,H27&gt;=0),ROUND(C27*H27,2),"请准确填写扣除比例")</f>
        <v>请准确填写扣除比例</v>
      </c>
      <c r="L27" s="220" t="str">
        <f>IF(AND(I27&lt;=1,I27&gt;=0),ROUND(D27*I27,2),"请准确填写扣除比例")</f>
        <v>请准确填写扣除比例</v>
      </c>
      <c r="M27" s="220" t="str">
        <f>IF(AND(J27&lt;=1,J27&gt;=0),ROUND(E27*J27,2),"请准确填写扣除比例")</f>
        <v>请准确填写扣除比例</v>
      </c>
      <c r="N27" s="220">
        <f t="shared" si="4"/>
        <v>0</v>
      </c>
    </row>
    <row r="28" spans="1:14">
      <c r="A28" s="208"/>
      <c r="B28" s="209"/>
      <c r="C28" s="210"/>
      <c r="D28" s="210"/>
      <c r="E28" s="210"/>
      <c r="F28" s="210"/>
      <c r="G28" s="209"/>
      <c r="H28" s="211"/>
      <c r="I28" s="211"/>
      <c r="J28" s="211"/>
      <c r="K28" s="161"/>
      <c r="L28" s="161"/>
      <c r="M28" s="161"/>
      <c r="N28" s="161"/>
    </row>
    <row r="29" spans="1:14">
      <c r="A29" s="208"/>
      <c r="B29" s="209"/>
      <c r="C29" s="210"/>
      <c r="D29" s="210"/>
      <c r="E29" s="210"/>
      <c r="F29" s="210"/>
      <c r="G29" s="209"/>
      <c r="H29" s="211"/>
      <c r="I29" s="211"/>
      <c r="J29" s="211"/>
      <c r="K29" s="161"/>
      <c r="L29" s="161"/>
      <c r="M29" s="161"/>
      <c r="N29" s="161"/>
    </row>
    <row r="30" spans="11:14">
      <c r="K30" s="161"/>
      <c r="L30" s="161"/>
      <c r="M30" s="161"/>
      <c r="N30" s="161"/>
    </row>
    <row r="31" spans="11:14">
      <c r="K31" s="161"/>
      <c r="L31" s="161"/>
      <c r="M31" s="161"/>
      <c r="N31" s="161"/>
    </row>
    <row r="34" s="162" customFormat="1" spans="1:10">
      <c r="A34" s="212"/>
      <c r="B34" s="213"/>
      <c r="C34" s="214"/>
      <c r="D34" s="214"/>
      <c r="E34" s="214"/>
      <c r="F34" s="214"/>
      <c r="G34" s="215"/>
      <c r="H34" s="216"/>
      <c r="I34" s="216"/>
      <c r="J34" s="216"/>
    </row>
    <row r="35" s="162" customFormat="1" spans="2:10">
      <c r="B35" s="217"/>
      <c r="C35" s="218"/>
      <c r="D35" s="218"/>
      <c r="E35" s="218"/>
      <c r="F35" s="218"/>
      <c r="G35" s="215"/>
      <c r="H35" s="216"/>
      <c r="I35" s="216"/>
      <c r="J35" s="216"/>
    </row>
    <row r="36" s="162" customFormat="1" spans="2:10">
      <c r="B36" s="217"/>
      <c r="C36" s="218"/>
      <c r="D36" s="218"/>
      <c r="E36" s="218"/>
      <c r="F36" s="218"/>
      <c r="G36" s="215"/>
      <c r="H36" s="216"/>
      <c r="I36" s="216"/>
      <c r="J36" s="216"/>
    </row>
  </sheetData>
  <mergeCells count="7">
    <mergeCell ref="A1:N1"/>
    <mergeCell ref="A2:N2"/>
    <mergeCell ref="C3:F3"/>
    <mergeCell ref="G3:J3"/>
    <mergeCell ref="K3:N3"/>
    <mergeCell ref="A3:A5"/>
    <mergeCell ref="B3:B5"/>
  </mergeCells>
  <dataValidations count="3">
    <dataValidation allowBlank="1" showInputMessage="1" showErrorMessage="1" sqref="G6 F6:F19 F26:F27"/>
    <dataValidation type="list" allowBlank="1" showInputMessage="1" showErrorMessage="1" sqref="G18 G27 G7:G8 G10:G16">
      <formula1>IF(土地增值税税源明细表!$H$6="三分法",数据对照表!$AB$2:$AB$3,数据对照表!$AC$2:$AC$4)</formula1>
    </dataValidation>
    <dataValidation type="list" allowBlank="1" showInputMessage="1" showErrorMessage="1" sqref="G20:H26">
      <formula1>"建筑面积法,其他合理方法"</formula1>
    </dataValidation>
  </dataValidations>
  <printOptions horizontalCentered="1"/>
  <pageMargins left="0.747916666666667" right="0.747916666666667" top="0.984027777777778" bottom="0.984027777777778" header="0.511805555555556" footer="0.511805555555556"/>
  <pageSetup paperSize="9" scale="57" fitToHeight="0" orientation="landscape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6"/>
  <sheetViews>
    <sheetView zoomScale="105" zoomScaleNormal="105" workbookViewId="0">
      <selection activeCell="A3" sqref="A3:H4"/>
    </sheetView>
  </sheetViews>
  <sheetFormatPr defaultColWidth="8.875" defaultRowHeight="14.25" outlineLevelCol="7"/>
  <cols>
    <col min="1" max="1" width="13.125" style="163" customWidth="1"/>
    <col min="2" max="2" width="23.125" style="164" customWidth="1"/>
    <col min="3" max="3" width="4.125" style="165" customWidth="1"/>
    <col min="4" max="8" width="16.625" style="166" customWidth="1"/>
  </cols>
  <sheetData>
    <row r="1" s="159" customFormat="1" ht="22.5" spans="1:8">
      <c r="A1" s="76" t="s">
        <v>224</v>
      </c>
      <c r="B1" s="76"/>
      <c r="C1" s="76"/>
      <c r="D1" s="167"/>
      <c r="E1" s="167"/>
      <c r="F1" s="167"/>
      <c r="G1" s="167"/>
      <c r="H1" s="167"/>
    </row>
    <row r="2" s="47" customFormat="1" ht="12" spans="1:8">
      <c r="A2" s="168" t="str">
        <f>土地增值税税源明细表!F5&amp;"："&amp;土地增值税税源明细表!H5&amp;"          "&amp;土地增值税税源明细表!A5&amp;"："&amp;土地增值税税源明细表!B5&amp;"          "&amp;"金额单位:人民币元(列至角分)"</f>
        <v>项目编码：          项目名称：          金额单位:人民币元(列至角分)</v>
      </c>
      <c r="B2" s="168"/>
      <c r="C2" s="168"/>
      <c r="D2" s="169"/>
      <c r="E2" s="169"/>
      <c r="F2" s="169"/>
      <c r="G2" s="169"/>
      <c r="H2" s="169"/>
    </row>
    <row r="3" s="47" customFormat="1" ht="28.5" customHeight="1" spans="1:8">
      <c r="A3" s="78" t="s">
        <v>198</v>
      </c>
      <c r="B3" s="170" t="s">
        <v>225</v>
      </c>
      <c r="C3" s="171" t="s">
        <v>24</v>
      </c>
      <c r="D3" s="124" t="s">
        <v>226</v>
      </c>
      <c r="E3" s="124" t="s">
        <v>227</v>
      </c>
      <c r="F3" s="124" t="s">
        <v>228</v>
      </c>
      <c r="G3" s="124" t="s">
        <v>229</v>
      </c>
      <c r="H3" s="124" t="s">
        <v>230</v>
      </c>
    </row>
    <row r="4" s="47" customFormat="1" ht="20.25" customHeight="1" spans="1:8">
      <c r="A4" s="81"/>
      <c r="B4" s="172"/>
      <c r="C4" s="173"/>
      <c r="D4" s="326" t="s">
        <v>195</v>
      </c>
      <c r="E4" s="326" t="s">
        <v>169</v>
      </c>
      <c r="F4" s="326" t="s">
        <v>170</v>
      </c>
      <c r="G4" s="326" t="s">
        <v>171</v>
      </c>
      <c r="H4" s="326" t="s">
        <v>231</v>
      </c>
    </row>
    <row r="5" s="47" customFormat="1" ht="15.95" customHeight="1" spans="1:8">
      <c r="A5" s="174" t="str">
        <f>数据对照表!B1</f>
        <v>取得土地使用权所支付的金额</v>
      </c>
      <c r="B5" s="149" t="str">
        <f>数据对照表!B2</f>
        <v>支付的土地出让金额</v>
      </c>
      <c r="C5" s="175" t="s">
        <v>195</v>
      </c>
      <c r="D5" s="176">
        <f>SUMIFS('附表7-扣除项目明细采集底稿'!P:P,'附表7-扣除项目明细采集底稿'!E:E,B5,'附表7-扣除项目明细采集底稿'!S:S,"&lt;1")</f>
        <v>0</v>
      </c>
      <c r="E5" s="176">
        <f>SUMIFS('附表7-扣除项目明细采集底稿'!R:R,'附表7-扣除项目明细采集底稿'!E:E,B5,'附表7-扣除项目明细采集底稿'!S:S,"&lt;1")</f>
        <v>0</v>
      </c>
      <c r="F5" s="176" t="s">
        <v>232</v>
      </c>
      <c r="G5" s="176">
        <f>SUMIFS('附表7-扣除项目明细采集底稿'!T:T,'附表7-扣除项目明细采集底稿'!E:E,B5,'附表7-扣除项目明细采集底稿'!S:S,"&lt;1")</f>
        <v>0</v>
      </c>
      <c r="H5" s="176">
        <f>E5-SUM(F5)-G5</f>
        <v>0</v>
      </c>
    </row>
    <row r="6" s="47" customFormat="1" ht="15.95" customHeight="1" spans="1:8">
      <c r="A6" s="177"/>
      <c r="B6" s="149" t="str">
        <f>数据对照表!B3</f>
        <v>支付的地价款金额</v>
      </c>
      <c r="C6" s="175" t="s">
        <v>169</v>
      </c>
      <c r="D6" s="176">
        <f>SUMIFS('附表7-扣除项目明细采集底稿'!P:P,'附表7-扣除项目明细采集底稿'!E:E,B6,'附表7-扣除项目明细采集底稿'!S:S,"&lt;1")</f>
        <v>0</v>
      </c>
      <c r="E6" s="176">
        <f>SUMIFS('附表7-扣除项目明细采集底稿'!R:R,'附表7-扣除项目明细采集底稿'!E:E,B6,'附表7-扣除项目明细采集底稿'!S:S,"&lt;1")</f>
        <v>0</v>
      </c>
      <c r="F6" s="176" t="s">
        <v>232</v>
      </c>
      <c r="G6" s="176">
        <f>SUMIFS('附表7-扣除项目明细采集底稿'!T:T,'附表7-扣除项目明细采集底稿'!E:E,B6,'附表7-扣除项目明细采集底稿'!S:S,"&lt;1")</f>
        <v>0</v>
      </c>
      <c r="H6" s="176">
        <f t="shared" ref="H6:H49" si="0">E6-SUM(F6)-G6</f>
        <v>0</v>
      </c>
    </row>
    <row r="7" s="47" customFormat="1" ht="15.95" customHeight="1" spans="1:8">
      <c r="A7" s="178"/>
      <c r="B7" s="149" t="str">
        <f>数据对照表!B4</f>
        <v>交纳的有关税费</v>
      </c>
      <c r="C7" s="175" t="s">
        <v>170</v>
      </c>
      <c r="D7" s="176">
        <f>SUMIFS('附表7-扣除项目明细采集底稿'!P:P,'附表7-扣除项目明细采集底稿'!E:E,B7,'附表7-扣除项目明细采集底稿'!S:S,"&lt;1")</f>
        <v>0</v>
      </c>
      <c r="E7" s="176">
        <f>SUMIFS('附表7-扣除项目明细采集底稿'!R:R,'附表7-扣除项目明细采集底稿'!E:E,B7,'附表7-扣除项目明细采集底稿'!S:S,"&lt;1")</f>
        <v>0</v>
      </c>
      <c r="F7" s="176" t="s">
        <v>232</v>
      </c>
      <c r="G7" s="176">
        <f>SUMIFS('附表7-扣除项目明细采集底稿'!T:T,'附表7-扣除项目明细采集底稿'!E:E,B7,'附表7-扣除项目明细采集底稿'!S:S,"&lt;1")</f>
        <v>0</v>
      </c>
      <c r="H7" s="176">
        <f t="shared" si="0"/>
        <v>0</v>
      </c>
    </row>
    <row r="8" s="47" customFormat="1" ht="15.95" customHeight="1" spans="1:8">
      <c r="A8" s="174" t="str">
        <f>数据对照表!C1</f>
        <v>土地征用及拆迁补偿费</v>
      </c>
      <c r="B8" s="149" t="str">
        <f>数据对照表!C2</f>
        <v>土地征用费用</v>
      </c>
      <c r="C8" s="175" t="s">
        <v>171</v>
      </c>
      <c r="D8" s="176">
        <f>SUMIFS('附表7-扣除项目明细采集底稿'!P:P,'附表7-扣除项目明细采集底稿'!E:E,B8,'附表7-扣除项目明细采集底稿'!S:S,"&lt;1")</f>
        <v>0</v>
      </c>
      <c r="E8" s="176">
        <f>SUMIFS('附表7-扣除项目明细采集底稿'!R:R,'附表7-扣除项目明细采集底稿'!E:E,B8,'附表7-扣除项目明细采集底稿'!S:S,"&lt;1")</f>
        <v>0</v>
      </c>
      <c r="F8" s="176" t="s">
        <v>232</v>
      </c>
      <c r="G8" s="176">
        <f>SUMIFS('附表7-扣除项目明细采集底稿'!T:T,'附表7-扣除项目明细采集底稿'!E:E,B8,'附表7-扣除项目明细采集底稿'!S:S,"&lt;1")</f>
        <v>0</v>
      </c>
      <c r="H8" s="176">
        <f t="shared" si="0"/>
        <v>0</v>
      </c>
    </row>
    <row r="9" s="47" customFormat="1" ht="15.95" customHeight="1" spans="1:8">
      <c r="A9" s="177"/>
      <c r="B9" s="149" t="str">
        <f>数据对照表!C3</f>
        <v>耕地占用税</v>
      </c>
      <c r="C9" s="175" t="s">
        <v>203</v>
      </c>
      <c r="D9" s="176">
        <f>SUMIFS('附表7-扣除项目明细采集底稿'!P:P,'附表7-扣除项目明细采集底稿'!E:E,B9,'附表7-扣除项目明细采集底稿'!S:S,"&lt;1")</f>
        <v>0</v>
      </c>
      <c r="E9" s="176">
        <f>SUMIFS('附表7-扣除项目明细采集底稿'!R:R,'附表7-扣除项目明细采集底稿'!E:E,B9,'附表7-扣除项目明细采集底稿'!S:S,"&lt;1")</f>
        <v>0</v>
      </c>
      <c r="F9" s="176" t="s">
        <v>232</v>
      </c>
      <c r="G9" s="176">
        <f>SUMIFS('附表7-扣除项目明细采集底稿'!T:T,'附表7-扣除项目明细采集底稿'!E:E,B9,'附表7-扣除项目明细采集底稿'!S:S,"&lt;1")</f>
        <v>0</v>
      </c>
      <c r="H9" s="176">
        <f t="shared" si="0"/>
        <v>0</v>
      </c>
    </row>
    <row r="10" s="47" customFormat="1" ht="15.95" customHeight="1" spans="1:8">
      <c r="A10" s="177"/>
      <c r="B10" s="149" t="str">
        <f>数据对照表!C4</f>
        <v>劳动力安置费</v>
      </c>
      <c r="C10" s="175" t="s">
        <v>173</v>
      </c>
      <c r="D10" s="176">
        <f>SUMIFS('附表7-扣除项目明细采集底稿'!P:P,'附表7-扣除项目明细采集底稿'!E:E,B10,'附表7-扣除项目明细采集底稿'!S:S,"&lt;1")</f>
        <v>0</v>
      </c>
      <c r="E10" s="176">
        <f>SUMIFS('附表7-扣除项目明细采集底稿'!R:R,'附表7-扣除项目明细采集底稿'!E:E,B10,'附表7-扣除项目明细采集底稿'!S:S,"&lt;1")</f>
        <v>0</v>
      </c>
      <c r="F10" s="176" t="s">
        <v>232</v>
      </c>
      <c r="G10" s="176">
        <f>SUMIFS('附表7-扣除项目明细采集底稿'!T:T,'附表7-扣除项目明细采集底稿'!E:E,B10,'附表7-扣除项目明细采集底稿'!S:S,"&lt;1")</f>
        <v>0</v>
      </c>
      <c r="H10" s="176">
        <f t="shared" si="0"/>
        <v>0</v>
      </c>
    </row>
    <row r="11" s="47" customFormat="1" ht="15.95" customHeight="1" spans="1:8">
      <c r="A11" s="177"/>
      <c r="B11" s="149" t="str">
        <f>数据对照表!C5</f>
        <v>安置动迁用房支出</v>
      </c>
      <c r="C11" s="175" t="s">
        <v>174</v>
      </c>
      <c r="D11" s="176">
        <f>SUMIFS('附表7-扣除项目明细采集底稿'!P:P,'附表7-扣除项目明细采集底稿'!E:E,B11,'附表7-扣除项目明细采集底稿'!S:S,"&lt;1")</f>
        <v>0</v>
      </c>
      <c r="E11" s="176">
        <f>SUMIFS('附表7-扣除项目明细采集底稿'!R:R,'附表7-扣除项目明细采集底稿'!E:E,B11,'附表7-扣除项目明细采集底稿'!S:S,"&lt;1")</f>
        <v>0</v>
      </c>
      <c r="F11" s="176" t="s">
        <v>232</v>
      </c>
      <c r="G11" s="176">
        <f>SUMIFS('附表7-扣除项目明细采集底稿'!T:T,'附表7-扣除项目明细采集底稿'!E:E,B11,'附表7-扣除项目明细采集底稿'!S:S,"&lt;1")</f>
        <v>0</v>
      </c>
      <c r="H11" s="176">
        <f t="shared" si="0"/>
        <v>0</v>
      </c>
    </row>
    <row r="12" s="47" customFormat="1" ht="15.95" customHeight="1" spans="1:8">
      <c r="A12" s="177"/>
      <c r="B12" s="149" t="str">
        <f>数据对照表!C6</f>
        <v>拆迁补偿费</v>
      </c>
      <c r="C12" s="175" t="s">
        <v>175</v>
      </c>
      <c r="D12" s="176">
        <f>SUMIFS('附表7-扣除项目明细采集底稿'!P:P,'附表7-扣除项目明细采集底稿'!E:E,B12,'附表7-扣除项目明细采集底稿'!S:S,"&lt;1")</f>
        <v>0</v>
      </c>
      <c r="E12" s="176">
        <f>SUMIFS('附表7-扣除项目明细采集底稿'!R:R,'附表7-扣除项目明细采集底稿'!E:E,B12,'附表7-扣除项目明细采集底稿'!S:S,"&lt;1")</f>
        <v>0</v>
      </c>
      <c r="F12" s="176" t="s">
        <v>232</v>
      </c>
      <c r="G12" s="176">
        <f>SUMIFS('附表7-扣除项目明细采集底稿'!T:T,'附表7-扣除项目明细采集底稿'!E:E,B12,'附表7-扣除项目明细采集底稿'!S:S,"&lt;1")</f>
        <v>0</v>
      </c>
      <c r="H12" s="176">
        <f t="shared" si="0"/>
        <v>0</v>
      </c>
    </row>
    <row r="13" s="160" customFormat="1" ht="15.95" customHeight="1" spans="1:8">
      <c r="A13" s="178"/>
      <c r="B13" s="149" t="str">
        <f>数据对照表!C7</f>
        <v>其他土地征用及拆迁补偿费</v>
      </c>
      <c r="C13" s="175" t="s">
        <v>182</v>
      </c>
      <c r="D13" s="176">
        <f>SUMIFS('附表7-扣除项目明细采集底稿'!P:P,'附表7-扣除项目明细采集底稿'!E:E,B13,'附表7-扣除项目明细采集底稿'!S:S,"&lt;1")</f>
        <v>0</v>
      </c>
      <c r="E13" s="176">
        <f>SUMIFS('附表7-扣除项目明细采集底稿'!R:R,'附表7-扣除项目明细采集底稿'!E:E,B13,'附表7-扣除项目明细采集底稿'!S:S,"&lt;1")</f>
        <v>0</v>
      </c>
      <c r="F13" s="176" t="s">
        <v>232</v>
      </c>
      <c r="G13" s="176">
        <f>SUMIFS('附表7-扣除项目明细采集底稿'!T:T,'附表7-扣除项目明细采集底稿'!E:E,B13,'附表7-扣除项目明细采集底稿'!S:S,"&lt;1")</f>
        <v>0</v>
      </c>
      <c r="H13" s="176">
        <f t="shared" si="0"/>
        <v>0</v>
      </c>
    </row>
    <row r="14" s="160" customFormat="1" ht="15.95" customHeight="1" spans="1:8">
      <c r="A14" s="174" t="str">
        <f>数据对照表!D1</f>
        <v>前期工程费</v>
      </c>
      <c r="B14" s="149" t="str">
        <f>数据对照表!D2</f>
        <v>规划费用</v>
      </c>
      <c r="C14" s="175" t="s">
        <v>183</v>
      </c>
      <c r="D14" s="176">
        <f>SUMIFS('附表7-扣除项目明细采集底稿'!P:P,'附表7-扣除项目明细采集底稿'!E:E,B14,'附表7-扣除项目明细采集底稿'!S:S,"&lt;1")</f>
        <v>0</v>
      </c>
      <c r="E14" s="176">
        <f>SUMIFS('附表7-扣除项目明细采集底稿'!R:R,'附表7-扣除项目明细采集底稿'!E:E,B14,'附表7-扣除项目明细采集底稿'!S:S,"&lt;1")</f>
        <v>0</v>
      </c>
      <c r="F14" s="176" t="s">
        <v>232</v>
      </c>
      <c r="G14" s="176">
        <f>SUMIFS('附表7-扣除项目明细采集底稿'!T:T,'附表7-扣除项目明细采集底稿'!E:E,B14,'附表7-扣除项目明细采集底稿'!S:S,"&lt;1")</f>
        <v>0</v>
      </c>
      <c r="H14" s="176">
        <f t="shared" si="0"/>
        <v>0</v>
      </c>
    </row>
    <row r="15" s="160" customFormat="1" ht="15.95" customHeight="1" spans="1:8">
      <c r="A15" s="177"/>
      <c r="B15" s="149" t="str">
        <f>数据对照表!D3</f>
        <v>设计费用</v>
      </c>
      <c r="C15" s="175" t="s">
        <v>212</v>
      </c>
      <c r="D15" s="176">
        <f>SUMIFS('附表7-扣除项目明细采集底稿'!P:P,'附表7-扣除项目明细采集底稿'!E:E,B15,'附表7-扣除项目明细采集底稿'!S:S,"&lt;1")</f>
        <v>0</v>
      </c>
      <c r="E15" s="176">
        <f>SUMIFS('附表7-扣除项目明细采集底稿'!R:R,'附表7-扣除项目明细采集底稿'!E:E,B15,'附表7-扣除项目明细采集底稿'!S:S,"&lt;1")</f>
        <v>0</v>
      </c>
      <c r="F15" s="176" t="s">
        <v>232</v>
      </c>
      <c r="G15" s="176">
        <f>SUMIFS('附表7-扣除项目明细采集底稿'!T:T,'附表7-扣除项目明细采集底稿'!E:E,B15,'附表7-扣除项目明细采集底稿'!S:S,"&lt;1")</f>
        <v>0</v>
      </c>
      <c r="H15" s="176">
        <f t="shared" si="0"/>
        <v>0</v>
      </c>
    </row>
    <row r="16" s="160" customFormat="1" ht="15.95" customHeight="1" spans="1:8">
      <c r="A16" s="177"/>
      <c r="B16" s="149" t="str">
        <f>数据对照表!D4</f>
        <v>项目可行性研究费用</v>
      </c>
      <c r="C16" s="175" t="s">
        <v>185</v>
      </c>
      <c r="D16" s="176">
        <f>SUMIFS('附表7-扣除项目明细采集底稿'!P:P,'附表7-扣除项目明细采集底稿'!E:E,B16,'附表7-扣除项目明细采集底稿'!S:S,"&lt;1")</f>
        <v>0</v>
      </c>
      <c r="E16" s="176">
        <f>SUMIFS('附表7-扣除项目明细采集底稿'!R:R,'附表7-扣除项目明细采集底稿'!E:E,B16,'附表7-扣除项目明细采集底稿'!S:S,"&lt;1")</f>
        <v>0</v>
      </c>
      <c r="F16" s="176" t="s">
        <v>232</v>
      </c>
      <c r="G16" s="176">
        <f>SUMIFS('附表7-扣除项目明细采集底稿'!T:T,'附表7-扣除项目明细采集底稿'!E:E,B16,'附表7-扣除项目明细采集底稿'!S:S,"&lt;1")</f>
        <v>0</v>
      </c>
      <c r="H16" s="176">
        <f t="shared" si="0"/>
        <v>0</v>
      </c>
    </row>
    <row r="17" s="47" customFormat="1" ht="15.95" customHeight="1" spans="1:8">
      <c r="A17" s="177"/>
      <c r="B17" s="149" t="str">
        <f>数据对照表!D5</f>
        <v>水文费用</v>
      </c>
      <c r="C17" s="175" t="s">
        <v>186</v>
      </c>
      <c r="D17" s="176">
        <f>SUMIFS('附表7-扣除项目明细采集底稿'!P:P,'附表7-扣除项目明细采集底稿'!E:E,B17,'附表7-扣除项目明细采集底稿'!S:S,"&lt;1")</f>
        <v>0</v>
      </c>
      <c r="E17" s="176">
        <f>SUMIFS('附表7-扣除项目明细采集底稿'!R:R,'附表7-扣除项目明细采集底稿'!E:E,B17,'附表7-扣除项目明细采集底稿'!S:S,"&lt;1")</f>
        <v>0</v>
      </c>
      <c r="F17" s="176" t="s">
        <v>232</v>
      </c>
      <c r="G17" s="176">
        <f>SUMIFS('附表7-扣除项目明细采集底稿'!T:T,'附表7-扣除项目明细采集底稿'!E:E,B17,'附表7-扣除项目明细采集底稿'!S:S,"&lt;1")</f>
        <v>0</v>
      </c>
      <c r="H17" s="176">
        <f t="shared" si="0"/>
        <v>0</v>
      </c>
    </row>
    <row r="18" s="161" customFormat="1" ht="15.95" customHeight="1" spans="1:8">
      <c r="A18" s="177"/>
      <c r="B18" s="149" t="str">
        <f>数据对照表!D6</f>
        <v>地质费用</v>
      </c>
      <c r="C18" s="175" t="s">
        <v>187</v>
      </c>
      <c r="D18" s="176">
        <f>SUMIFS('附表7-扣除项目明细采集底稿'!P:P,'附表7-扣除项目明细采集底稿'!E:E,B18,'附表7-扣除项目明细采集底稿'!S:S,"&lt;1")</f>
        <v>0</v>
      </c>
      <c r="E18" s="176">
        <f>SUMIFS('附表7-扣除项目明细采集底稿'!R:R,'附表7-扣除项目明细采集底稿'!E:E,B18,'附表7-扣除项目明细采集底稿'!S:S,"&lt;1")</f>
        <v>0</v>
      </c>
      <c r="F18" s="176" t="s">
        <v>232</v>
      </c>
      <c r="G18" s="176">
        <f>SUMIFS('附表7-扣除项目明细采集底稿'!T:T,'附表7-扣除项目明细采集底稿'!E:E,B18,'附表7-扣除项目明细采集底稿'!S:S,"&lt;1")</f>
        <v>0</v>
      </c>
      <c r="H18" s="176">
        <f t="shared" si="0"/>
        <v>0</v>
      </c>
    </row>
    <row r="19" s="161" customFormat="1" ht="15.95" customHeight="1" spans="1:8">
      <c r="A19" s="177"/>
      <c r="B19" s="149" t="str">
        <f>数据对照表!D7</f>
        <v>勘探费用</v>
      </c>
      <c r="C19" s="175" t="s">
        <v>188</v>
      </c>
      <c r="D19" s="176">
        <f>SUMIFS('附表7-扣除项目明细采集底稿'!P:P,'附表7-扣除项目明细采集底稿'!E:E,B19,'附表7-扣除项目明细采集底稿'!S:S,"&lt;1")</f>
        <v>0</v>
      </c>
      <c r="E19" s="176">
        <f>SUMIFS('附表7-扣除项目明细采集底稿'!R:R,'附表7-扣除项目明细采集底稿'!E:E,B19,'附表7-扣除项目明细采集底稿'!S:S,"&lt;1")</f>
        <v>0</v>
      </c>
      <c r="F19" s="176" t="s">
        <v>232</v>
      </c>
      <c r="G19" s="176">
        <f>SUMIFS('附表7-扣除项目明细采集底稿'!T:T,'附表7-扣除项目明细采集底稿'!E:E,B19,'附表7-扣除项目明细采集底稿'!S:S,"&lt;1")</f>
        <v>0</v>
      </c>
      <c r="H19" s="176">
        <f t="shared" si="0"/>
        <v>0</v>
      </c>
    </row>
    <row r="20" s="161" customFormat="1" ht="15.95" customHeight="1" spans="1:8">
      <c r="A20" s="177"/>
      <c r="B20" s="149" t="str">
        <f>数据对照表!D8</f>
        <v>测绘费用</v>
      </c>
      <c r="C20" s="175" t="s">
        <v>215</v>
      </c>
      <c r="D20" s="176">
        <f>SUMIFS('附表7-扣除项目明细采集底稿'!P:P,'附表7-扣除项目明细采集底稿'!E:E,B20,'附表7-扣除项目明细采集底稿'!S:S,"&lt;1")</f>
        <v>0</v>
      </c>
      <c r="E20" s="176">
        <f>SUMIFS('附表7-扣除项目明细采集底稿'!R:R,'附表7-扣除项目明细采集底稿'!E:E,B20,'附表7-扣除项目明细采集底稿'!S:S,"&lt;1")</f>
        <v>0</v>
      </c>
      <c r="F20" s="176" t="s">
        <v>232</v>
      </c>
      <c r="G20" s="176">
        <f>SUMIFS('附表7-扣除项目明细采集底稿'!T:T,'附表7-扣除项目明细采集底稿'!E:E,B20,'附表7-扣除项目明细采集底稿'!S:S,"&lt;1")</f>
        <v>0</v>
      </c>
      <c r="H20" s="176">
        <f t="shared" si="0"/>
        <v>0</v>
      </c>
    </row>
    <row r="21" s="161" customFormat="1" ht="15.95" customHeight="1" spans="1:8">
      <c r="A21" s="177"/>
      <c r="B21" s="149" t="str">
        <f>数据对照表!D9</f>
        <v>七通一平支出</v>
      </c>
      <c r="C21" s="175" t="s">
        <v>216</v>
      </c>
      <c r="D21" s="176">
        <f>SUMIFS('附表7-扣除项目明细采集底稿'!P:P,'附表7-扣除项目明细采集底稿'!E:E,B21,'附表7-扣除项目明细采集底稿'!S:S,"&lt;1")</f>
        <v>0</v>
      </c>
      <c r="E21" s="176">
        <f>SUMIFS('附表7-扣除项目明细采集底稿'!R:R,'附表7-扣除项目明细采集底稿'!E:E,B21,'附表7-扣除项目明细采集底稿'!S:S,"&lt;1")</f>
        <v>0</v>
      </c>
      <c r="F21" s="176" t="s">
        <v>232</v>
      </c>
      <c r="G21" s="176">
        <f>SUMIFS('附表7-扣除项目明细采集底稿'!T:T,'附表7-扣除项目明细采集底稿'!E:E,B21,'附表7-扣除项目明细采集底稿'!S:S,"&lt;1")</f>
        <v>0</v>
      </c>
      <c r="H21" s="176">
        <f t="shared" si="0"/>
        <v>0</v>
      </c>
    </row>
    <row r="22" s="161" customFormat="1" ht="15.95" customHeight="1" spans="1:8">
      <c r="A22" s="178"/>
      <c r="B22" s="149" t="str">
        <f>数据对照表!D10</f>
        <v>其他前期工程费</v>
      </c>
      <c r="C22" s="175" t="s">
        <v>217</v>
      </c>
      <c r="D22" s="176">
        <f>SUMIFS('附表7-扣除项目明细采集底稿'!P:P,'附表7-扣除项目明细采集底稿'!E:E,B22,'附表7-扣除项目明细采集底稿'!S:S,"&lt;1")</f>
        <v>0</v>
      </c>
      <c r="E22" s="176">
        <f>SUMIFS('附表7-扣除项目明细采集底稿'!R:R,'附表7-扣除项目明细采集底稿'!E:E,B22,'附表7-扣除项目明细采集底稿'!S:S,"&lt;1")</f>
        <v>0</v>
      </c>
      <c r="F22" s="176" t="s">
        <v>232</v>
      </c>
      <c r="G22" s="176">
        <f>SUMIFS('附表7-扣除项目明细采集底稿'!T:T,'附表7-扣除项目明细采集底稿'!E:E,B22,'附表7-扣除项目明细采集底稿'!S:S,"&lt;1")</f>
        <v>0</v>
      </c>
      <c r="H22" s="176">
        <f t="shared" si="0"/>
        <v>0</v>
      </c>
    </row>
    <row r="23" s="161" customFormat="1" ht="15.95" customHeight="1" spans="1:8">
      <c r="A23" s="174" t="str">
        <f>数据对照表!E1</f>
        <v>建筑安装工程费</v>
      </c>
      <c r="B23" s="149" t="str">
        <f>数据对照表!E2</f>
        <v>桩基础工程费用</v>
      </c>
      <c r="C23" s="175" t="s">
        <v>219</v>
      </c>
      <c r="D23" s="176">
        <f>SUMIFS('附表7-扣除项目明细采集底稿'!P:P,'附表7-扣除项目明细采集底稿'!E:E,B23,'附表7-扣除项目明细采集底稿'!S:S,"&lt;1")</f>
        <v>0</v>
      </c>
      <c r="E23" s="176">
        <f>SUMIFS('附表7-扣除项目明细采集底稿'!R:R,'附表7-扣除项目明细采集底稿'!E:E,B23,'附表7-扣除项目明细采集底稿'!S:S,"&lt;1")</f>
        <v>0</v>
      </c>
      <c r="F23" s="176" t="s">
        <v>232</v>
      </c>
      <c r="G23" s="176">
        <f>SUMIFS('附表7-扣除项目明细采集底稿'!T:T,'附表7-扣除项目明细采集底稿'!E:E,B23,'附表7-扣除项目明细采集底稿'!S:S,"&lt;1")</f>
        <v>0</v>
      </c>
      <c r="H23" s="176">
        <f t="shared" si="0"/>
        <v>0</v>
      </c>
    </row>
    <row r="24" s="162" customFormat="1" ht="15.95" customHeight="1" spans="1:8">
      <c r="A24" s="177"/>
      <c r="B24" s="149" t="str">
        <f>数据对照表!E3</f>
        <v>地下室工程费用</v>
      </c>
      <c r="C24" s="175" t="s">
        <v>221</v>
      </c>
      <c r="D24" s="176">
        <f>SUMIFS('附表7-扣除项目明细采集底稿'!P:P,'附表7-扣除项目明细采集底稿'!E:E,B24,'附表7-扣除项目明细采集底稿'!S:S,"&lt;1")</f>
        <v>0</v>
      </c>
      <c r="E24" s="176">
        <f>SUMIFS('附表7-扣除项目明细采集底稿'!R:R,'附表7-扣除项目明细采集底稿'!E:E,B24,'附表7-扣除项目明细采集底稿'!S:S,"&lt;1")</f>
        <v>0</v>
      </c>
      <c r="F24" s="176" t="s">
        <v>232</v>
      </c>
      <c r="G24" s="176">
        <f>SUMIFS('附表7-扣除项目明细采集底稿'!T:T,'附表7-扣除项目明细采集底稿'!E:E,B24,'附表7-扣除项目明细采集底稿'!S:S,"&lt;1")</f>
        <v>0</v>
      </c>
      <c r="H24" s="176">
        <f t="shared" si="0"/>
        <v>0</v>
      </c>
    </row>
    <row r="25" s="162" customFormat="1" ht="15.95" customHeight="1" spans="1:8">
      <c r="A25" s="177"/>
      <c r="B25" s="149" t="str">
        <f>数据对照表!E4</f>
        <v>地上建筑工程费用</v>
      </c>
      <c r="C25" s="175" t="s">
        <v>233</v>
      </c>
      <c r="D25" s="176">
        <f>SUMIFS('附表7-扣除项目明细采集底稿'!P:P,'附表7-扣除项目明细采集底稿'!E:E,B25,'附表7-扣除项目明细采集底稿'!S:S,"&lt;1")</f>
        <v>0</v>
      </c>
      <c r="E25" s="176">
        <f>SUMIFS('附表7-扣除项目明细采集底稿'!R:R,'附表7-扣除项目明细采集底稿'!E:E,B25,'附表7-扣除项目明细采集底稿'!S:S,"&lt;1")</f>
        <v>0</v>
      </c>
      <c r="F25" s="176" t="s">
        <v>232</v>
      </c>
      <c r="G25" s="176">
        <f>SUMIFS('附表7-扣除项目明细采集底稿'!T:T,'附表7-扣除项目明细采集底稿'!E:E,B25,'附表7-扣除项目明细采集底稿'!S:S,"&lt;1")</f>
        <v>0</v>
      </c>
      <c r="H25" s="176">
        <f t="shared" si="0"/>
        <v>0</v>
      </c>
    </row>
    <row r="26" s="162" customFormat="1" ht="15.95" customHeight="1" spans="1:8">
      <c r="A26" s="177"/>
      <c r="B26" s="149" t="str">
        <f>数据对照表!E5</f>
        <v>户内装修费用</v>
      </c>
      <c r="C26" s="175" t="s">
        <v>223</v>
      </c>
      <c r="D26" s="176">
        <f>SUMIFS('附表7-扣除项目明细采集底稿'!P:P,'附表7-扣除项目明细采集底稿'!E:E,B26,'附表7-扣除项目明细采集底稿'!S:S,"&lt;1")</f>
        <v>0</v>
      </c>
      <c r="E26" s="176">
        <f>SUMIFS('附表7-扣除项目明细采集底稿'!R:R,'附表7-扣除项目明细采集底稿'!E:E,B26,'附表7-扣除项目明细采集底稿'!S:S,"&lt;1")</f>
        <v>0</v>
      </c>
      <c r="F26" s="176" t="s">
        <v>232</v>
      </c>
      <c r="G26" s="176">
        <f>SUMIFS('附表7-扣除项目明细采集底稿'!T:T,'附表7-扣除项目明细采集底稿'!E:E,B26,'附表7-扣除项目明细采集底稿'!S:S,"&lt;1")</f>
        <v>0</v>
      </c>
      <c r="H26" s="176">
        <f t="shared" si="0"/>
        <v>0</v>
      </c>
    </row>
    <row r="27" s="161" customFormat="1" ht="15.95" customHeight="1" spans="1:8">
      <c r="A27" s="177"/>
      <c r="B27" s="149" t="str">
        <f>数据对照表!E6</f>
        <v>高档外立面工程费用</v>
      </c>
      <c r="C27" s="175" t="s">
        <v>234</v>
      </c>
      <c r="D27" s="176">
        <f>SUMIFS('附表7-扣除项目明细采集底稿'!P:P,'附表7-扣除项目明细采集底稿'!E:E,B27,'附表7-扣除项目明细采集底稿'!S:S,"&lt;1")</f>
        <v>0</v>
      </c>
      <c r="E27" s="176">
        <f>SUMIFS('附表7-扣除项目明细采集底稿'!R:R,'附表7-扣除项目明细采集底稿'!E:E,B27,'附表7-扣除项目明细采集底稿'!S:S,"&lt;1")</f>
        <v>0</v>
      </c>
      <c r="F27" s="176" t="s">
        <v>232</v>
      </c>
      <c r="G27" s="176">
        <f>SUMIFS('附表7-扣除项目明细采集底稿'!T:T,'附表7-扣除项目明细采集底稿'!E:E,B27,'附表7-扣除项目明细采集底稿'!S:S,"&lt;1")</f>
        <v>0</v>
      </c>
      <c r="H27" s="176">
        <f t="shared" si="0"/>
        <v>0</v>
      </c>
    </row>
    <row r="28" s="161" customFormat="1" ht="15.95" customHeight="1" spans="1:8">
      <c r="A28" s="178"/>
      <c r="B28" s="149" t="str">
        <f>数据对照表!E7</f>
        <v>其他建筑安装工程费</v>
      </c>
      <c r="C28" s="175" t="s">
        <v>235</v>
      </c>
      <c r="D28" s="176">
        <f>SUMIFS('附表7-扣除项目明细采集底稿'!P:P,'附表7-扣除项目明细采集底稿'!E:E,B28,'附表7-扣除项目明细采集底稿'!S:S,"&lt;1")</f>
        <v>0</v>
      </c>
      <c r="E28" s="176">
        <f>SUMIFS('附表7-扣除项目明细采集底稿'!R:R,'附表7-扣除项目明细采集底稿'!E:E,B28,'附表7-扣除项目明细采集底稿'!S:S,"&lt;1")</f>
        <v>0</v>
      </c>
      <c r="F28" s="176" t="s">
        <v>232</v>
      </c>
      <c r="G28" s="176">
        <f>SUMIFS('附表7-扣除项目明细采集底稿'!T:T,'附表7-扣除项目明细采集底稿'!E:E,B28,'附表7-扣除项目明细采集底稿'!S:S,"&lt;1")</f>
        <v>0</v>
      </c>
      <c r="H28" s="176">
        <f t="shared" si="0"/>
        <v>0</v>
      </c>
    </row>
    <row r="29" s="161" customFormat="1" ht="15.95" customHeight="1" spans="1:8">
      <c r="A29" s="174" t="str">
        <f>数据对照表!F1</f>
        <v>基础设施费</v>
      </c>
      <c r="B29" s="149" t="str">
        <f>数据对照表!F2</f>
        <v>开发小区内道路工程支出</v>
      </c>
      <c r="C29" s="175" t="s">
        <v>236</v>
      </c>
      <c r="D29" s="176">
        <f>SUMIFS('附表7-扣除项目明细采集底稿'!P:P,'附表7-扣除项目明细采集底稿'!E:E,B29,'附表7-扣除项目明细采集底稿'!S:S,"&lt;1")</f>
        <v>0</v>
      </c>
      <c r="E29" s="176">
        <f>SUMIFS('附表7-扣除项目明细采集底稿'!R:R,'附表7-扣除项目明细采集底稿'!E:E,B29,'附表7-扣除项目明细采集底稿'!S:S,"&lt;1")</f>
        <v>0</v>
      </c>
      <c r="F29" s="176" t="s">
        <v>232</v>
      </c>
      <c r="G29" s="176">
        <f>SUMIFS('附表7-扣除项目明细采集底稿'!T:T,'附表7-扣除项目明细采集底稿'!E:E,B29,'附表7-扣除项目明细采集底稿'!S:S,"&lt;1")</f>
        <v>0</v>
      </c>
      <c r="H29" s="176">
        <f t="shared" si="0"/>
        <v>0</v>
      </c>
    </row>
    <row r="30" s="161" customFormat="1" ht="15.95" customHeight="1" spans="1:8">
      <c r="A30" s="177"/>
      <c r="B30" s="149" t="str">
        <f>数据对照表!F3</f>
        <v>供水工程支出</v>
      </c>
      <c r="C30" s="175" t="s">
        <v>237</v>
      </c>
      <c r="D30" s="176">
        <f>SUMIFS('附表7-扣除项目明细采集底稿'!P:P,'附表7-扣除项目明细采集底稿'!E:E,B30,'附表7-扣除项目明细采集底稿'!S:S,"&lt;1")</f>
        <v>0</v>
      </c>
      <c r="E30" s="176">
        <f>SUMIFS('附表7-扣除项目明细采集底稿'!R:R,'附表7-扣除项目明细采集底稿'!E:E,B30,'附表7-扣除项目明细采集底稿'!S:S,"&lt;1")</f>
        <v>0</v>
      </c>
      <c r="F30" s="176" t="s">
        <v>232</v>
      </c>
      <c r="G30" s="176">
        <f>SUMIFS('附表7-扣除项目明细采集底稿'!T:T,'附表7-扣除项目明细采集底稿'!E:E,B30,'附表7-扣除项目明细采集底稿'!S:S,"&lt;1")</f>
        <v>0</v>
      </c>
      <c r="H30" s="176">
        <f t="shared" si="0"/>
        <v>0</v>
      </c>
    </row>
    <row r="31" s="161" customFormat="1" ht="15.95" customHeight="1" spans="1:8">
      <c r="A31" s="177"/>
      <c r="B31" s="149" t="str">
        <f>数据对照表!F4</f>
        <v>供电工程支出</v>
      </c>
      <c r="C31" s="175" t="s">
        <v>238</v>
      </c>
      <c r="D31" s="176">
        <f>SUMIFS('附表7-扣除项目明细采集底稿'!P:P,'附表7-扣除项目明细采集底稿'!E:E,B31,'附表7-扣除项目明细采集底稿'!S:S,"&lt;1")</f>
        <v>0</v>
      </c>
      <c r="E31" s="176">
        <f>SUMIFS('附表7-扣除项目明细采集底稿'!R:R,'附表7-扣除项目明细采集底稿'!E:E,B31,'附表7-扣除项目明细采集底稿'!S:S,"&lt;1")</f>
        <v>0</v>
      </c>
      <c r="F31" s="176" t="s">
        <v>232</v>
      </c>
      <c r="G31" s="176">
        <f>SUMIFS('附表7-扣除项目明细采集底稿'!T:T,'附表7-扣除项目明细采集底稿'!E:E,B31,'附表7-扣除项目明细采集底稿'!S:S,"&lt;1")</f>
        <v>0</v>
      </c>
      <c r="H31" s="176">
        <f t="shared" si="0"/>
        <v>0</v>
      </c>
    </row>
    <row r="32" s="161" customFormat="1" ht="15.95" customHeight="1" spans="1:8">
      <c r="A32" s="177"/>
      <c r="B32" s="149" t="str">
        <f>数据对照表!F5</f>
        <v>供气工程支出</v>
      </c>
      <c r="C32" s="175" t="s">
        <v>239</v>
      </c>
      <c r="D32" s="176">
        <f>SUMIFS('附表7-扣除项目明细采集底稿'!P:P,'附表7-扣除项目明细采集底稿'!E:E,B32,'附表7-扣除项目明细采集底稿'!S:S,"&lt;1")</f>
        <v>0</v>
      </c>
      <c r="E32" s="176">
        <f>SUMIFS('附表7-扣除项目明细采集底稿'!R:R,'附表7-扣除项目明细采集底稿'!E:E,B32,'附表7-扣除项目明细采集底稿'!S:S,"&lt;1")</f>
        <v>0</v>
      </c>
      <c r="F32" s="176" t="s">
        <v>232</v>
      </c>
      <c r="G32" s="176">
        <f>SUMIFS('附表7-扣除项目明细采集底稿'!T:T,'附表7-扣除项目明细采集底稿'!E:E,B32,'附表7-扣除项目明细采集底稿'!S:S,"&lt;1")</f>
        <v>0</v>
      </c>
      <c r="H32" s="176">
        <f t="shared" si="0"/>
        <v>0</v>
      </c>
    </row>
    <row r="33" s="161" customFormat="1" ht="15.95" customHeight="1" spans="1:8">
      <c r="A33" s="177"/>
      <c r="B33" s="149" t="str">
        <f>数据对照表!F6</f>
        <v>排污工程支出</v>
      </c>
      <c r="C33" s="175" t="s">
        <v>240</v>
      </c>
      <c r="D33" s="176">
        <f>SUMIFS('附表7-扣除项目明细采集底稿'!P:P,'附表7-扣除项目明细采集底稿'!E:E,B33,'附表7-扣除项目明细采集底稿'!S:S,"&lt;1")</f>
        <v>0</v>
      </c>
      <c r="E33" s="176">
        <f>SUMIFS('附表7-扣除项目明细采集底稿'!R:R,'附表7-扣除项目明细采集底稿'!E:E,B33,'附表7-扣除项目明细采集底稿'!S:S,"&lt;1")</f>
        <v>0</v>
      </c>
      <c r="F33" s="176" t="s">
        <v>232</v>
      </c>
      <c r="G33" s="176">
        <f>SUMIFS('附表7-扣除项目明细采集底稿'!T:T,'附表7-扣除项目明细采集底稿'!E:E,B33,'附表7-扣除项目明细采集底稿'!S:S,"&lt;1")</f>
        <v>0</v>
      </c>
      <c r="H33" s="176">
        <f t="shared" si="0"/>
        <v>0</v>
      </c>
    </row>
    <row r="34" s="161" customFormat="1" ht="15.95" customHeight="1" spans="1:8">
      <c r="A34" s="177"/>
      <c r="B34" s="149" t="str">
        <f>数据对照表!F7</f>
        <v>排洪工程支出</v>
      </c>
      <c r="C34" s="175" t="s">
        <v>241</v>
      </c>
      <c r="D34" s="176">
        <f>SUMIFS('附表7-扣除项目明细采集底稿'!P:P,'附表7-扣除项目明细采集底稿'!E:E,B34,'附表7-扣除项目明细采集底稿'!S:S,"&lt;1")</f>
        <v>0</v>
      </c>
      <c r="E34" s="176">
        <f>SUMIFS('附表7-扣除项目明细采集底稿'!R:R,'附表7-扣除项目明细采集底稿'!E:E,B34,'附表7-扣除项目明细采集底稿'!S:S,"&lt;1")</f>
        <v>0</v>
      </c>
      <c r="F34" s="176" t="s">
        <v>232</v>
      </c>
      <c r="G34" s="176">
        <f>SUMIFS('附表7-扣除项目明细采集底稿'!T:T,'附表7-扣除项目明细采集底稿'!E:E,B34,'附表7-扣除项目明细采集底稿'!S:S,"&lt;1")</f>
        <v>0</v>
      </c>
      <c r="H34" s="176">
        <f t="shared" si="0"/>
        <v>0</v>
      </c>
    </row>
    <row r="35" s="161" customFormat="1" ht="15.95" customHeight="1" spans="1:8">
      <c r="A35" s="177"/>
      <c r="B35" s="149" t="str">
        <f>数据对照表!F8</f>
        <v>通讯工程支出</v>
      </c>
      <c r="C35" s="175" t="s">
        <v>242</v>
      </c>
      <c r="D35" s="176">
        <f>SUMIFS('附表7-扣除项目明细采集底稿'!P:P,'附表7-扣除项目明细采集底稿'!E:E,B35,'附表7-扣除项目明细采集底稿'!S:S,"&lt;1")</f>
        <v>0</v>
      </c>
      <c r="E35" s="176">
        <f>SUMIFS('附表7-扣除项目明细采集底稿'!R:R,'附表7-扣除项目明细采集底稿'!E:E,B35,'附表7-扣除项目明细采集底稿'!S:S,"&lt;1")</f>
        <v>0</v>
      </c>
      <c r="F35" s="176" t="s">
        <v>232</v>
      </c>
      <c r="G35" s="176">
        <f>SUMIFS('附表7-扣除项目明细采集底稿'!T:T,'附表7-扣除项目明细采集底稿'!E:E,B35,'附表7-扣除项目明细采集底稿'!S:S,"&lt;1")</f>
        <v>0</v>
      </c>
      <c r="H35" s="176">
        <f t="shared" si="0"/>
        <v>0</v>
      </c>
    </row>
    <row r="36" s="161" customFormat="1" ht="15.95" customHeight="1" spans="1:8">
      <c r="A36" s="177"/>
      <c r="B36" s="149" t="str">
        <f>数据对照表!F9</f>
        <v>照明工程支出</v>
      </c>
      <c r="C36" s="175" t="s">
        <v>243</v>
      </c>
      <c r="D36" s="176">
        <f>SUMIFS('附表7-扣除项目明细采集底稿'!P:P,'附表7-扣除项目明细采集底稿'!E:E,B36,'附表7-扣除项目明细采集底稿'!S:S,"&lt;1")</f>
        <v>0</v>
      </c>
      <c r="E36" s="176">
        <f>SUMIFS('附表7-扣除项目明细采集底稿'!R:R,'附表7-扣除项目明细采集底稿'!E:E,B36,'附表7-扣除项目明细采集底稿'!S:S,"&lt;1")</f>
        <v>0</v>
      </c>
      <c r="F36" s="176" t="s">
        <v>232</v>
      </c>
      <c r="G36" s="176">
        <f>SUMIFS('附表7-扣除项目明细采集底稿'!T:T,'附表7-扣除项目明细采集底稿'!E:E,B36,'附表7-扣除项目明细采集底稿'!S:S,"&lt;1")</f>
        <v>0</v>
      </c>
      <c r="H36" s="176">
        <f t="shared" si="0"/>
        <v>0</v>
      </c>
    </row>
    <row r="37" s="161" customFormat="1" ht="15.95" customHeight="1" spans="1:8">
      <c r="A37" s="177"/>
      <c r="B37" s="149" t="str">
        <f>数据对照表!F10</f>
        <v>环卫工程支出</v>
      </c>
      <c r="C37" s="175" t="s">
        <v>244</v>
      </c>
      <c r="D37" s="176">
        <f>SUMIFS('附表7-扣除项目明细采集底稿'!P:P,'附表7-扣除项目明细采集底稿'!E:E,B37,'附表7-扣除项目明细采集底稿'!S:S,"&lt;1")</f>
        <v>0</v>
      </c>
      <c r="E37" s="176">
        <f>SUMIFS('附表7-扣除项目明细采集底稿'!R:R,'附表7-扣除项目明细采集底稿'!E:E,B37,'附表7-扣除项目明细采集底稿'!S:S,"&lt;1")</f>
        <v>0</v>
      </c>
      <c r="F37" s="176" t="s">
        <v>232</v>
      </c>
      <c r="G37" s="176">
        <f>SUMIFS('附表7-扣除项目明细采集底稿'!T:T,'附表7-扣除项目明细采集底稿'!E:E,B37,'附表7-扣除项目明细采集底稿'!S:S,"&lt;1")</f>
        <v>0</v>
      </c>
      <c r="H37" s="176">
        <f t="shared" si="0"/>
        <v>0</v>
      </c>
    </row>
    <row r="38" s="161" customFormat="1" ht="15.95" customHeight="1" spans="1:8">
      <c r="A38" s="177"/>
      <c r="B38" s="149" t="str">
        <f>数据对照表!F11</f>
        <v>绿化费用</v>
      </c>
      <c r="C38" s="175" t="s">
        <v>245</v>
      </c>
      <c r="D38" s="176">
        <f>SUMIFS('附表7-扣除项目明细采集底稿'!P:P,'附表7-扣除项目明细采集底稿'!E:E,B38,'附表7-扣除项目明细采集底稿'!S:S,"&lt;1")</f>
        <v>0</v>
      </c>
      <c r="E38" s="176">
        <f>SUMIFS('附表7-扣除项目明细采集底稿'!R:R,'附表7-扣除项目明细采集底稿'!E:E,B38,'附表7-扣除项目明细采集底稿'!S:S,"&lt;1")</f>
        <v>0</v>
      </c>
      <c r="F38" s="176" t="s">
        <v>232</v>
      </c>
      <c r="G38" s="176">
        <f>SUMIFS('附表7-扣除项目明细采集底稿'!T:T,'附表7-扣除项目明细采集底稿'!E:E,B38,'附表7-扣除项目明细采集底稿'!S:S,"&lt;1")</f>
        <v>0</v>
      </c>
      <c r="H38" s="176">
        <f t="shared" si="0"/>
        <v>0</v>
      </c>
    </row>
    <row r="39" s="161" customFormat="1" ht="15.95" customHeight="1" spans="1:8">
      <c r="A39" s="178"/>
      <c r="B39" s="149" t="str">
        <f>数据对照表!F12</f>
        <v>其他设施工程发生的支出</v>
      </c>
      <c r="C39" s="175" t="s">
        <v>246</v>
      </c>
      <c r="D39" s="176">
        <f>SUMIFS('附表7-扣除项目明细采集底稿'!P:P,'附表7-扣除项目明细采集底稿'!E:E,B39,'附表7-扣除项目明细采集底稿'!S:S,"&lt;1")</f>
        <v>0</v>
      </c>
      <c r="E39" s="176">
        <f>SUMIFS('附表7-扣除项目明细采集底稿'!R:R,'附表7-扣除项目明细采集底稿'!E:E,B39,'附表7-扣除项目明细采集底稿'!S:S,"&lt;1")</f>
        <v>0</v>
      </c>
      <c r="F39" s="176" t="s">
        <v>232</v>
      </c>
      <c r="G39" s="176">
        <f>SUMIFS('附表7-扣除项目明细采集底稿'!T:T,'附表7-扣除项目明细采集底稿'!E:E,B39,'附表7-扣除项目明细采集底稿'!S:S,"&lt;1")</f>
        <v>0</v>
      </c>
      <c r="H39" s="176">
        <f t="shared" si="0"/>
        <v>0</v>
      </c>
    </row>
    <row r="40" s="161" customFormat="1" ht="15.95" customHeight="1" spans="1:8">
      <c r="A40" s="174" t="str">
        <f>数据对照表!G1</f>
        <v>公共配套设施费</v>
      </c>
      <c r="B40" s="149" t="str">
        <f>数据对照表!G2</f>
        <v>居委会用房费用</v>
      </c>
      <c r="C40" s="175" t="s">
        <v>247</v>
      </c>
      <c r="D40" s="176">
        <f>SUMIFS('附表7-扣除项目明细采集底稿'!P:P,'附表7-扣除项目明细采集底稿'!E:E,B40,'附表7-扣除项目明细采集底稿'!S:S,"&lt;1")</f>
        <v>0</v>
      </c>
      <c r="E40" s="176">
        <f>SUMIFS('附表7-扣除项目明细采集底稿'!R:R,'附表7-扣除项目明细采集底稿'!E:E,B40,'附表7-扣除项目明细采集底稿'!S:S,"&lt;1")</f>
        <v>0</v>
      </c>
      <c r="F40" s="176" t="s">
        <v>232</v>
      </c>
      <c r="G40" s="176">
        <f>SUMIFS('附表7-扣除项目明细采集底稿'!T:T,'附表7-扣除项目明细采集底稿'!E:E,B40,'附表7-扣除项目明细采集底稿'!S:S,"&lt;1")</f>
        <v>0</v>
      </c>
      <c r="H40" s="176">
        <f t="shared" si="0"/>
        <v>0</v>
      </c>
    </row>
    <row r="41" s="161" customFormat="1" ht="15.95" customHeight="1" spans="1:8">
      <c r="A41" s="177"/>
      <c r="B41" s="149" t="str">
        <f>数据对照表!G3</f>
        <v>派出所用房费用</v>
      </c>
      <c r="C41" s="175" t="s">
        <v>248</v>
      </c>
      <c r="D41" s="176">
        <f>SUMIFS('附表7-扣除项目明细采集底稿'!P:P,'附表7-扣除项目明细采集底稿'!E:E,B41,'附表7-扣除项目明细采集底稿'!S:S,"&lt;1")</f>
        <v>0</v>
      </c>
      <c r="E41" s="176">
        <f>SUMIFS('附表7-扣除项目明细采集底稿'!R:R,'附表7-扣除项目明细采集底稿'!E:E,B41,'附表7-扣除项目明细采集底稿'!S:S,"&lt;1")</f>
        <v>0</v>
      </c>
      <c r="F41" s="176" t="s">
        <v>232</v>
      </c>
      <c r="G41" s="176">
        <f>SUMIFS('附表7-扣除项目明细采集底稿'!T:T,'附表7-扣除项目明细采集底稿'!E:E,B41,'附表7-扣除项目明细采集底稿'!S:S,"&lt;1")</f>
        <v>0</v>
      </c>
      <c r="H41" s="176">
        <f t="shared" si="0"/>
        <v>0</v>
      </c>
    </row>
    <row r="42" s="161" customFormat="1" ht="15.95" customHeight="1" spans="1:8">
      <c r="A42" s="177"/>
      <c r="B42" s="149" t="str">
        <f>数据对照表!G4</f>
        <v>会所费用</v>
      </c>
      <c r="C42" s="175" t="s">
        <v>249</v>
      </c>
      <c r="D42" s="176">
        <f>SUMIFS('附表7-扣除项目明细采集底稿'!P:P,'附表7-扣除项目明细采集底稿'!E:E,B42,'附表7-扣除项目明细采集底稿'!S:S,"&lt;1")</f>
        <v>0</v>
      </c>
      <c r="E42" s="176">
        <f>SUMIFS('附表7-扣除项目明细采集底稿'!R:R,'附表7-扣除项目明细采集底稿'!E:E,B42,'附表7-扣除项目明细采集底稿'!S:S,"&lt;1")</f>
        <v>0</v>
      </c>
      <c r="F42" s="176" t="s">
        <v>232</v>
      </c>
      <c r="G42" s="176">
        <f>SUMIFS('附表7-扣除项目明细采集底稿'!T:T,'附表7-扣除项目明细采集底稿'!E:E,B42,'附表7-扣除项目明细采集底稿'!S:S,"&lt;1")</f>
        <v>0</v>
      </c>
      <c r="H42" s="176">
        <f t="shared" si="0"/>
        <v>0</v>
      </c>
    </row>
    <row r="43" s="161" customFormat="1" ht="15.95" customHeight="1" spans="1:8">
      <c r="A43" s="177"/>
      <c r="B43" s="149" t="str">
        <f>数据对照表!G5</f>
        <v>非机动车库（场）费用</v>
      </c>
      <c r="C43" s="175" t="s">
        <v>250</v>
      </c>
      <c r="D43" s="176">
        <f>SUMIFS('附表7-扣除项目明细采集底稿'!P:P,'附表7-扣除项目明细采集底稿'!E:E,B43,'附表7-扣除项目明细采集底稿'!S:S,"&lt;1")</f>
        <v>0</v>
      </c>
      <c r="E43" s="176">
        <f>SUMIFS('附表7-扣除项目明细采集底稿'!R:R,'附表7-扣除项目明细采集底稿'!E:E,B43,'附表7-扣除项目明细采集底稿'!S:S,"&lt;1")</f>
        <v>0</v>
      </c>
      <c r="F43" s="176" t="s">
        <v>232</v>
      </c>
      <c r="G43" s="176">
        <f>SUMIFS('附表7-扣除项目明细采集底稿'!T:T,'附表7-扣除项目明细采集底稿'!E:E,B43,'附表7-扣除项目明细采集底稿'!S:S,"&lt;1")</f>
        <v>0</v>
      </c>
      <c r="H43" s="176">
        <f t="shared" si="0"/>
        <v>0</v>
      </c>
    </row>
    <row r="44" s="161" customFormat="1" ht="15.95" customHeight="1" spans="1:8">
      <c r="A44" s="177"/>
      <c r="B44" s="149" t="str">
        <f>数据对照表!G6</f>
        <v>地下人防设施费用</v>
      </c>
      <c r="C44" s="175" t="s">
        <v>251</v>
      </c>
      <c r="D44" s="176">
        <f>SUMIFS('附表7-扣除项目明细采集底稿'!P:P,'附表7-扣除项目明细采集底稿'!E:E,B44,'附表7-扣除项目明细采集底稿'!S:S,"&lt;1")</f>
        <v>0</v>
      </c>
      <c r="E44" s="176">
        <f>SUMIFS('附表7-扣除项目明细采集底稿'!R:R,'附表7-扣除项目明细采集底稿'!E:E,B44,'附表7-扣除项目明细采集底稿'!S:S,"&lt;1")</f>
        <v>0</v>
      </c>
      <c r="F44" s="176" t="s">
        <v>232</v>
      </c>
      <c r="G44" s="176">
        <f>SUMIFS('附表7-扣除项目明细采集底稿'!T:T,'附表7-扣除项目明细采集底稿'!E:E,B44,'附表7-扣除项目明细采集底稿'!S:S,"&lt;1")</f>
        <v>0</v>
      </c>
      <c r="H44" s="176">
        <f t="shared" si="0"/>
        <v>0</v>
      </c>
    </row>
    <row r="45" s="161" customFormat="1" ht="15.95" customHeight="1" spans="1:8">
      <c r="A45" s="177"/>
      <c r="B45" s="149" t="str">
        <f>数据对照表!G7</f>
        <v>物业管理场所费用</v>
      </c>
      <c r="C45" s="175" t="s">
        <v>252</v>
      </c>
      <c r="D45" s="176">
        <f>SUMIFS('附表7-扣除项目明细采集底稿'!P:P,'附表7-扣除项目明细采集底稿'!E:E,B45,'附表7-扣除项目明细采集底稿'!S:S,"&lt;1")</f>
        <v>0</v>
      </c>
      <c r="E45" s="176">
        <f>SUMIFS('附表7-扣除项目明细采集底稿'!R:R,'附表7-扣除项目明细采集底稿'!E:E,B45,'附表7-扣除项目明细采集底稿'!S:S,"&lt;1")</f>
        <v>0</v>
      </c>
      <c r="F45" s="176" t="s">
        <v>232</v>
      </c>
      <c r="G45" s="176">
        <f>SUMIFS('附表7-扣除项目明细采集底稿'!T:T,'附表7-扣除项目明细采集底稿'!E:E,B45,'附表7-扣除项目明细采集底稿'!S:S,"&lt;1")</f>
        <v>0</v>
      </c>
      <c r="H45" s="176">
        <f t="shared" si="0"/>
        <v>0</v>
      </c>
    </row>
    <row r="46" s="161" customFormat="1" ht="15.95" customHeight="1" spans="1:8">
      <c r="A46" s="177"/>
      <c r="B46" s="149" t="str">
        <f>数据对照表!G8</f>
        <v>变电站费用</v>
      </c>
      <c r="C46" s="175" t="s">
        <v>253</v>
      </c>
      <c r="D46" s="176">
        <f>SUMIFS('附表7-扣除项目明细采集底稿'!P:P,'附表7-扣除项目明细采集底稿'!E:E,B46,'附表7-扣除项目明细采集底稿'!S:S,"&lt;1")</f>
        <v>0</v>
      </c>
      <c r="E46" s="176">
        <f>SUMIFS('附表7-扣除项目明细采集底稿'!R:R,'附表7-扣除项目明细采集底稿'!E:E,B46,'附表7-扣除项目明细采集底稿'!S:S,"&lt;1")</f>
        <v>0</v>
      </c>
      <c r="F46" s="176" t="s">
        <v>232</v>
      </c>
      <c r="G46" s="176">
        <f>SUMIFS('附表7-扣除项目明细采集底稿'!T:T,'附表7-扣除项目明细采集底稿'!E:E,B46,'附表7-扣除项目明细采集底稿'!S:S,"&lt;1")</f>
        <v>0</v>
      </c>
      <c r="H46" s="176">
        <f t="shared" si="0"/>
        <v>0</v>
      </c>
    </row>
    <row r="47" s="161" customFormat="1" ht="15.95" customHeight="1" spans="1:8">
      <c r="A47" s="177"/>
      <c r="B47" s="149" t="str">
        <f>数据对照表!G9</f>
        <v>热力站费用</v>
      </c>
      <c r="C47" s="175" t="s">
        <v>254</v>
      </c>
      <c r="D47" s="176">
        <f>SUMIFS('附表7-扣除项目明细采集底稿'!P:P,'附表7-扣除项目明细采集底稿'!E:E,B47,'附表7-扣除项目明细采集底稿'!S:S,"&lt;1")</f>
        <v>0</v>
      </c>
      <c r="E47" s="176">
        <f>SUMIFS('附表7-扣除项目明细采集底稿'!R:R,'附表7-扣除项目明细采集底稿'!E:E,B47,'附表7-扣除项目明细采集底稿'!S:S,"&lt;1")</f>
        <v>0</v>
      </c>
      <c r="F47" s="176" t="s">
        <v>232</v>
      </c>
      <c r="G47" s="176">
        <f>SUMIFS('附表7-扣除项目明细采集底稿'!T:T,'附表7-扣除项目明细采集底稿'!E:E,B47,'附表7-扣除项目明细采集底稿'!S:S,"&lt;1")</f>
        <v>0</v>
      </c>
      <c r="H47" s="176">
        <f t="shared" si="0"/>
        <v>0</v>
      </c>
    </row>
    <row r="48" s="161" customFormat="1" ht="15.95" customHeight="1" spans="1:8">
      <c r="A48" s="177"/>
      <c r="B48" s="149" t="str">
        <f>数据对照表!G10</f>
        <v>水厂费用</v>
      </c>
      <c r="C48" s="175" t="s">
        <v>255</v>
      </c>
      <c r="D48" s="176">
        <f>SUMIFS('附表7-扣除项目明细采集底稿'!P:P,'附表7-扣除项目明细采集底稿'!E:E,B48,'附表7-扣除项目明细采集底稿'!S:S,"&lt;1")</f>
        <v>0</v>
      </c>
      <c r="E48" s="176">
        <f>SUMIFS('附表7-扣除项目明细采集底稿'!R:R,'附表7-扣除项目明细采集底稿'!E:E,B48,'附表7-扣除项目明细采集底稿'!S:S,"&lt;1")</f>
        <v>0</v>
      </c>
      <c r="F48" s="176" t="s">
        <v>232</v>
      </c>
      <c r="G48" s="176">
        <f>SUMIFS('附表7-扣除项目明细采集底稿'!T:T,'附表7-扣除项目明细采集底稿'!E:E,B48,'附表7-扣除项目明细采集底稿'!S:S,"&lt;1")</f>
        <v>0</v>
      </c>
      <c r="H48" s="176">
        <f t="shared" si="0"/>
        <v>0</v>
      </c>
    </row>
    <row r="49" s="161" customFormat="1" ht="15.95" customHeight="1" spans="1:8">
      <c r="A49" s="177"/>
      <c r="B49" s="149" t="str">
        <f>数据对照表!G11</f>
        <v>文体场馆费用</v>
      </c>
      <c r="C49" s="175" t="s">
        <v>256</v>
      </c>
      <c r="D49" s="176">
        <f>SUMIFS('附表7-扣除项目明细采集底稿'!P:P,'附表7-扣除项目明细采集底稿'!E:E,B49,'附表7-扣除项目明细采集底稿'!S:S,"&lt;1")</f>
        <v>0</v>
      </c>
      <c r="E49" s="176">
        <f>SUMIFS('附表7-扣除项目明细采集底稿'!R:R,'附表7-扣除项目明细采集底稿'!E:E,B49,'附表7-扣除项目明细采集底稿'!S:S,"&lt;1")</f>
        <v>0</v>
      </c>
      <c r="F49" s="176" t="s">
        <v>232</v>
      </c>
      <c r="G49" s="176">
        <f>SUMIFS('附表7-扣除项目明细采集底稿'!T:T,'附表7-扣除项目明细采集底稿'!E:E,B49,'附表7-扣除项目明细采集底稿'!S:S,"&lt;1")</f>
        <v>0</v>
      </c>
      <c r="H49" s="176">
        <f t="shared" si="0"/>
        <v>0</v>
      </c>
    </row>
    <row r="50" s="161" customFormat="1" ht="15.95" customHeight="1" spans="1:8">
      <c r="A50" s="177"/>
      <c r="B50" s="149" t="str">
        <f>数据对照表!G12</f>
        <v>学校费用</v>
      </c>
      <c r="C50" s="175" t="s">
        <v>257</v>
      </c>
      <c r="D50" s="176">
        <f>SUMIFS('附表7-扣除项目明细采集底稿'!P:P,'附表7-扣除项目明细采集底稿'!E:E,B50,'附表7-扣除项目明细采集底稿'!S:S,"&lt;1")</f>
        <v>0</v>
      </c>
      <c r="E50" s="176">
        <f>SUMIFS('附表7-扣除项目明细采集底稿'!R:R,'附表7-扣除项目明细采集底稿'!E:E,B50,'附表7-扣除项目明细采集底稿'!S:S,"&lt;1")</f>
        <v>0</v>
      </c>
      <c r="F50" s="176" t="s">
        <v>232</v>
      </c>
      <c r="G50" s="176">
        <f>SUMIFS('附表7-扣除项目明细采集底稿'!T:T,'附表7-扣除项目明细采集底稿'!E:E,B50,'附表7-扣除项目明细采集底稿'!S:S,"&lt;1")</f>
        <v>0</v>
      </c>
      <c r="H50" s="176">
        <f t="shared" ref="H50:H66" si="1">E50-SUM(F50)-G50</f>
        <v>0</v>
      </c>
    </row>
    <row r="51" s="161" customFormat="1" ht="15.95" customHeight="1" spans="1:8">
      <c r="A51" s="177"/>
      <c r="B51" s="149" t="str">
        <f>数据对照表!G13</f>
        <v>幼儿园费用</v>
      </c>
      <c r="C51" s="175" t="s">
        <v>258</v>
      </c>
      <c r="D51" s="176">
        <f>SUMIFS('附表7-扣除项目明细采集底稿'!P:P,'附表7-扣除项目明细采集底稿'!E:E,B51,'附表7-扣除项目明细采集底稿'!S:S,"&lt;1")</f>
        <v>0</v>
      </c>
      <c r="E51" s="176">
        <f>SUMIFS('附表7-扣除项目明细采集底稿'!R:R,'附表7-扣除项目明细采集底稿'!E:E,B51,'附表7-扣除项目明细采集底稿'!S:S,"&lt;1")</f>
        <v>0</v>
      </c>
      <c r="F51" s="176" t="s">
        <v>232</v>
      </c>
      <c r="G51" s="176">
        <f>SUMIFS('附表7-扣除项目明细采集底稿'!T:T,'附表7-扣除项目明细采集底稿'!E:E,B51,'附表7-扣除项目明细采集底稿'!S:S,"&lt;1")</f>
        <v>0</v>
      </c>
      <c r="H51" s="176">
        <f t="shared" si="1"/>
        <v>0</v>
      </c>
    </row>
    <row r="52" s="161" customFormat="1" ht="15.95" customHeight="1" spans="1:8">
      <c r="A52" s="177"/>
      <c r="B52" s="149" t="str">
        <f>数据对照表!G14</f>
        <v>托儿所费用</v>
      </c>
      <c r="C52" s="175" t="s">
        <v>259</v>
      </c>
      <c r="D52" s="176">
        <f>SUMIFS('附表7-扣除项目明细采集底稿'!P:P,'附表7-扣除项目明细采集底稿'!E:E,B52,'附表7-扣除项目明细采集底稿'!S:S,"&lt;1")</f>
        <v>0</v>
      </c>
      <c r="E52" s="176">
        <f>SUMIFS('附表7-扣除项目明细采集底稿'!R:R,'附表7-扣除项目明细采集底稿'!E:E,B52,'附表7-扣除项目明细采集底稿'!S:S,"&lt;1")</f>
        <v>0</v>
      </c>
      <c r="F52" s="176" t="s">
        <v>232</v>
      </c>
      <c r="G52" s="176">
        <f>SUMIFS('附表7-扣除项目明细采集底稿'!T:T,'附表7-扣除项目明细采集底稿'!E:E,B52,'附表7-扣除项目明细采集底稿'!S:S,"&lt;1")</f>
        <v>0</v>
      </c>
      <c r="H52" s="176">
        <f t="shared" si="1"/>
        <v>0</v>
      </c>
    </row>
    <row r="53" s="161" customFormat="1" ht="15.95" customHeight="1" spans="1:8">
      <c r="A53" s="177"/>
      <c r="B53" s="149" t="str">
        <f>数据对照表!G15</f>
        <v>医院费用</v>
      </c>
      <c r="C53" s="175" t="s">
        <v>260</v>
      </c>
      <c r="D53" s="176">
        <f>SUMIFS('附表7-扣除项目明细采集底稿'!P:P,'附表7-扣除项目明细采集底稿'!E:E,B53,'附表7-扣除项目明细采集底稿'!S:S,"&lt;1")</f>
        <v>0</v>
      </c>
      <c r="E53" s="176">
        <f>SUMIFS('附表7-扣除项目明细采集底稿'!R:R,'附表7-扣除项目明细采集底稿'!E:E,B53,'附表7-扣除项目明细采集底稿'!S:S,"&lt;1")</f>
        <v>0</v>
      </c>
      <c r="F53" s="176" t="s">
        <v>232</v>
      </c>
      <c r="G53" s="176">
        <f>SUMIFS('附表7-扣除项目明细采集底稿'!T:T,'附表7-扣除项目明细采集底稿'!E:E,B53,'附表7-扣除项目明细采集底稿'!S:S,"&lt;1")</f>
        <v>0</v>
      </c>
      <c r="H53" s="176">
        <f t="shared" si="1"/>
        <v>0</v>
      </c>
    </row>
    <row r="54" s="161" customFormat="1" ht="15.95" customHeight="1" spans="1:8">
      <c r="A54" s="177"/>
      <c r="B54" s="149" t="str">
        <f>数据对照表!G16</f>
        <v>邮电通讯费用</v>
      </c>
      <c r="C54" s="175" t="s">
        <v>261</v>
      </c>
      <c r="D54" s="176">
        <f>SUMIFS('附表7-扣除项目明细采集底稿'!P:P,'附表7-扣除项目明细采集底稿'!E:E,B54,'附表7-扣除项目明细采集底稿'!S:S,"&lt;1")</f>
        <v>0</v>
      </c>
      <c r="E54" s="176">
        <f>SUMIFS('附表7-扣除项目明细采集底稿'!R:R,'附表7-扣除项目明细采集底稿'!E:E,B54,'附表7-扣除项目明细采集底稿'!S:S,"&lt;1")</f>
        <v>0</v>
      </c>
      <c r="F54" s="176" t="s">
        <v>232</v>
      </c>
      <c r="G54" s="176">
        <f>SUMIFS('附表7-扣除项目明细采集底稿'!T:T,'附表7-扣除项目明细采集底稿'!E:E,B54,'附表7-扣除项目明细采集底稿'!S:S,"&lt;1")</f>
        <v>0</v>
      </c>
      <c r="H54" s="176">
        <f t="shared" si="1"/>
        <v>0</v>
      </c>
    </row>
    <row r="55" s="161" customFormat="1" ht="15.95" customHeight="1" spans="1:8">
      <c r="A55" s="178"/>
      <c r="B55" s="149" t="str">
        <f>数据对照表!G17</f>
        <v>其他非营业性房产费用</v>
      </c>
      <c r="C55" s="175" t="s">
        <v>262</v>
      </c>
      <c r="D55" s="176">
        <f>SUMIFS('附表7-扣除项目明细采集底稿'!P:P,'附表7-扣除项目明细采集底稿'!E:E,B55,'附表7-扣除项目明细采集底稿'!S:S,"&lt;1")</f>
        <v>0</v>
      </c>
      <c r="E55" s="176">
        <f>SUMIFS('附表7-扣除项目明细采集底稿'!R:R,'附表7-扣除项目明细采集底稿'!E:E,B55,'附表7-扣除项目明细采集底稿'!S:S,"&lt;1")</f>
        <v>0</v>
      </c>
      <c r="F55" s="176" t="s">
        <v>232</v>
      </c>
      <c r="G55" s="176">
        <f>SUMIFS('附表7-扣除项目明细采集底稿'!T:T,'附表7-扣除项目明细采集底稿'!E:E,B55,'附表7-扣除项目明细采集底稿'!S:S,"&lt;1")</f>
        <v>0</v>
      </c>
      <c r="H55" s="176">
        <f t="shared" si="1"/>
        <v>0</v>
      </c>
    </row>
    <row r="56" s="161" customFormat="1" ht="15.95" customHeight="1" spans="1:8">
      <c r="A56" s="174" t="str">
        <f>数据对照表!H1</f>
        <v>开发间接费用</v>
      </c>
      <c r="B56" s="149" t="str">
        <f>数据对照表!H2</f>
        <v>管理人员工资</v>
      </c>
      <c r="C56" s="175" t="s">
        <v>263</v>
      </c>
      <c r="D56" s="176">
        <f>SUMIFS('附表7-扣除项目明细采集底稿'!P:P,'附表7-扣除项目明细采集底稿'!E:E,B56,'附表7-扣除项目明细采集底稿'!S:S,"&lt;1")</f>
        <v>0</v>
      </c>
      <c r="E56" s="176">
        <f>SUMIFS('附表7-扣除项目明细采集底稿'!R:R,'附表7-扣除项目明细采集底稿'!E:E,B56,'附表7-扣除项目明细采集底稿'!S:S,"&lt;1")</f>
        <v>0</v>
      </c>
      <c r="F56" s="176" t="s">
        <v>232</v>
      </c>
      <c r="G56" s="176">
        <f>SUMIFS('附表7-扣除项目明细采集底稿'!T:T,'附表7-扣除项目明细采集底稿'!E:E,B56,'附表7-扣除项目明细采集底稿'!S:S,"&lt;1")</f>
        <v>0</v>
      </c>
      <c r="H56" s="176">
        <f t="shared" si="1"/>
        <v>0</v>
      </c>
    </row>
    <row r="57" s="161" customFormat="1" ht="15.95" customHeight="1" spans="1:8">
      <c r="A57" s="177"/>
      <c r="B57" s="149" t="str">
        <f>数据对照表!H3</f>
        <v>职工福利费</v>
      </c>
      <c r="C57" s="175" t="s">
        <v>264</v>
      </c>
      <c r="D57" s="176">
        <f>SUMIFS('附表7-扣除项目明细采集底稿'!P:P,'附表7-扣除项目明细采集底稿'!E:E,B57,'附表7-扣除项目明细采集底稿'!S:S,"&lt;1")</f>
        <v>0</v>
      </c>
      <c r="E57" s="176">
        <f>SUMIFS('附表7-扣除项目明细采集底稿'!R:R,'附表7-扣除项目明细采集底稿'!E:E,B57,'附表7-扣除项目明细采集底稿'!S:S,"&lt;1")</f>
        <v>0</v>
      </c>
      <c r="F57" s="176" t="s">
        <v>232</v>
      </c>
      <c r="G57" s="176">
        <f>SUMIFS('附表7-扣除项目明细采集底稿'!T:T,'附表7-扣除项目明细采集底稿'!E:E,B57,'附表7-扣除项目明细采集底稿'!S:S,"&lt;1")</f>
        <v>0</v>
      </c>
      <c r="H57" s="176">
        <f t="shared" si="1"/>
        <v>0</v>
      </c>
    </row>
    <row r="58" s="161" customFormat="1" ht="15.95" customHeight="1" spans="1:8">
      <c r="A58" s="177"/>
      <c r="B58" s="149" t="str">
        <f>数据对照表!H4</f>
        <v>折旧费</v>
      </c>
      <c r="C58" s="175" t="s">
        <v>265</v>
      </c>
      <c r="D58" s="176">
        <f>SUMIFS('附表7-扣除项目明细采集底稿'!P:P,'附表7-扣除项目明细采集底稿'!E:E,B58,'附表7-扣除项目明细采集底稿'!S:S,"&lt;1")</f>
        <v>0</v>
      </c>
      <c r="E58" s="176">
        <f>SUMIFS('附表7-扣除项目明细采集底稿'!R:R,'附表7-扣除项目明细采集底稿'!E:E,B58,'附表7-扣除项目明细采集底稿'!S:S,"&lt;1")</f>
        <v>0</v>
      </c>
      <c r="F58" s="176" t="s">
        <v>232</v>
      </c>
      <c r="G58" s="176">
        <f>SUMIFS('附表7-扣除项目明细采集底稿'!T:T,'附表7-扣除项目明细采集底稿'!E:E,B58,'附表7-扣除项目明细采集底稿'!S:S,"&lt;1")</f>
        <v>0</v>
      </c>
      <c r="H58" s="176">
        <f t="shared" si="1"/>
        <v>0</v>
      </c>
    </row>
    <row r="59" s="161" customFormat="1" ht="15.95" customHeight="1" spans="1:8">
      <c r="A59" s="177"/>
      <c r="B59" s="149" t="str">
        <f>数据对照表!H5</f>
        <v>修理费</v>
      </c>
      <c r="C59" s="175" t="s">
        <v>266</v>
      </c>
      <c r="D59" s="176">
        <f>SUMIFS('附表7-扣除项目明细采集底稿'!P:P,'附表7-扣除项目明细采集底稿'!E:E,B59,'附表7-扣除项目明细采集底稿'!S:S,"&lt;1")</f>
        <v>0</v>
      </c>
      <c r="E59" s="176">
        <f>SUMIFS('附表7-扣除项目明细采集底稿'!R:R,'附表7-扣除项目明细采集底稿'!E:E,B59,'附表7-扣除项目明细采集底稿'!S:S,"&lt;1")</f>
        <v>0</v>
      </c>
      <c r="F59" s="176" t="s">
        <v>232</v>
      </c>
      <c r="G59" s="176">
        <f>SUMIFS('附表7-扣除项目明细采集底稿'!T:T,'附表7-扣除项目明细采集底稿'!E:E,B59,'附表7-扣除项目明细采集底稿'!S:S,"&lt;1")</f>
        <v>0</v>
      </c>
      <c r="H59" s="176">
        <f t="shared" si="1"/>
        <v>0</v>
      </c>
    </row>
    <row r="60" s="161" customFormat="1" ht="15.95" customHeight="1" spans="1:8">
      <c r="A60" s="177"/>
      <c r="B60" s="149" t="str">
        <f>数据对照表!H6</f>
        <v>办公费</v>
      </c>
      <c r="C60" s="175" t="s">
        <v>267</v>
      </c>
      <c r="D60" s="176">
        <f>SUMIFS('附表7-扣除项目明细采集底稿'!P:P,'附表7-扣除项目明细采集底稿'!E:E,B60,'附表7-扣除项目明细采集底稿'!S:S,"&lt;1")</f>
        <v>0</v>
      </c>
      <c r="E60" s="176">
        <f>SUMIFS('附表7-扣除项目明细采集底稿'!R:R,'附表7-扣除项目明细采集底稿'!E:E,B60,'附表7-扣除项目明细采集底稿'!S:S,"&lt;1")</f>
        <v>0</v>
      </c>
      <c r="F60" s="176" t="s">
        <v>232</v>
      </c>
      <c r="G60" s="176">
        <f>SUMIFS('附表7-扣除项目明细采集底稿'!T:T,'附表7-扣除项目明细采集底稿'!E:E,B60,'附表7-扣除项目明细采集底稿'!S:S,"&lt;1")</f>
        <v>0</v>
      </c>
      <c r="H60" s="176">
        <f t="shared" si="1"/>
        <v>0</v>
      </c>
    </row>
    <row r="61" s="161" customFormat="1" ht="15.95" customHeight="1" spans="1:8">
      <c r="A61" s="177"/>
      <c r="B61" s="149" t="str">
        <f>数据对照表!H7</f>
        <v>水电费</v>
      </c>
      <c r="C61" s="175" t="s">
        <v>268</v>
      </c>
      <c r="D61" s="176">
        <f>SUMIFS('附表7-扣除项目明细采集底稿'!P:P,'附表7-扣除项目明细采集底稿'!E:E,B61,'附表7-扣除项目明细采集底稿'!S:S,"&lt;1")</f>
        <v>0</v>
      </c>
      <c r="E61" s="176">
        <f>SUMIFS('附表7-扣除项目明细采集底稿'!R:R,'附表7-扣除项目明细采集底稿'!E:E,B61,'附表7-扣除项目明细采集底稿'!S:S,"&lt;1")</f>
        <v>0</v>
      </c>
      <c r="F61" s="176" t="s">
        <v>232</v>
      </c>
      <c r="G61" s="176">
        <f>SUMIFS('附表7-扣除项目明细采集底稿'!T:T,'附表7-扣除项目明细采集底稿'!E:E,B61,'附表7-扣除项目明细采集底稿'!S:S,"&lt;1")</f>
        <v>0</v>
      </c>
      <c r="H61" s="176">
        <f t="shared" si="1"/>
        <v>0</v>
      </c>
    </row>
    <row r="62" s="161" customFormat="1" ht="15.95" customHeight="1" spans="1:8">
      <c r="A62" s="177"/>
      <c r="B62" s="149" t="str">
        <f>数据对照表!H8</f>
        <v>劳动保护费</v>
      </c>
      <c r="C62" s="175" t="s">
        <v>269</v>
      </c>
      <c r="D62" s="176">
        <f>SUMIFS('附表7-扣除项目明细采集底稿'!P:P,'附表7-扣除项目明细采集底稿'!E:E,B62,'附表7-扣除项目明细采集底稿'!S:S,"&lt;1")</f>
        <v>0</v>
      </c>
      <c r="E62" s="176">
        <f>SUMIFS('附表7-扣除项目明细采集底稿'!R:R,'附表7-扣除项目明细采集底稿'!E:E,B62,'附表7-扣除项目明细采集底稿'!S:S,"&lt;1")</f>
        <v>0</v>
      </c>
      <c r="F62" s="176" t="s">
        <v>232</v>
      </c>
      <c r="G62" s="176">
        <f>SUMIFS('附表7-扣除项目明细采集底稿'!T:T,'附表7-扣除项目明细采集底稿'!E:E,B62,'附表7-扣除项目明细采集底稿'!S:S,"&lt;1")</f>
        <v>0</v>
      </c>
      <c r="H62" s="176">
        <f t="shared" si="1"/>
        <v>0</v>
      </c>
    </row>
    <row r="63" s="161" customFormat="1" ht="15.95" customHeight="1" spans="1:8">
      <c r="A63" s="177"/>
      <c r="B63" s="149" t="str">
        <f>数据对照表!H9</f>
        <v>周转房摊销费</v>
      </c>
      <c r="C63" s="175" t="s">
        <v>270</v>
      </c>
      <c r="D63" s="176">
        <f>SUMIFS('附表7-扣除项目明细采集底稿'!P:P,'附表7-扣除项目明细采集底稿'!E:E,B63,'附表7-扣除项目明细采集底稿'!S:S,"&lt;1")</f>
        <v>0</v>
      </c>
      <c r="E63" s="176">
        <f>SUMIFS('附表7-扣除项目明细采集底稿'!R:R,'附表7-扣除项目明细采集底稿'!E:E,B63,'附表7-扣除项目明细采集底稿'!S:S,"&lt;1")</f>
        <v>0</v>
      </c>
      <c r="F63" s="176" t="s">
        <v>232</v>
      </c>
      <c r="G63" s="176">
        <f>SUMIFS('附表7-扣除项目明细采集底稿'!T:T,'附表7-扣除项目明细采集底稿'!E:E,B63,'附表7-扣除项目明细采集底稿'!S:S,"&lt;1")</f>
        <v>0</v>
      </c>
      <c r="H63" s="176">
        <f t="shared" si="1"/>
        <v>0</v>
      </c>
    </row>
    <row r="64" s="161" customFormat="1" ht="15.95" customHeight="1" spans="1:8">
      <c r="A64" s="178"/>
      <c r="B64" s="149" t="str">
        <f>数据对照表!H10</f>
        <v>其他发生的间接费用</v>
      </c>
      <c r="C64" s="175" t="s">
        <v>271</v>
      </c>
      <c r="D64" s="176">
        <f>SUMIFS('附表7-扣除项目明细采集底稿'!P:P,'附表7-扣除项目明细采集底稿'!E:E,B64,'附表7-扣除项目明细采集底稿'!S:S,"&lt;1")</f>
        <v>0</v>
      </c>
      <c r="E64" s="176">
        <f>SUMIFS('附表7-扣除项目明细采集底稿'!R:R,'附表7-扣除项目明细采集底稿'!E:E,B64,'附表7-扣除项目明细采集底稿'!S:S,"&lt;1")</f>
        <v>0</v>
      </c>
      <c r="F64" s="176" t="s">
        <v>232</v>
      </c>
      <c r="G64" s="176">
        <f>SUMIFS('附表7-扣除项目明细采集底稿'!T:T,'附表7-扣除项目明细采集底稿'!E:E,B64,'附表7-扣除项目明细采集底稿'!S:S,"&lt;1")</f>
        <v>0</v>
      </c>
      <c r="H64" s="176">
        <f t="shared" si="1"/>
        <v>0</v>
      </c>
    </row>
    <row r="65" s="161" customFormat="1" ht="15.95" customHeight="1" spans="1:8">
      <c r="A65" s="174" t="str">
        <f>数据对照表!I1</f>
        <v>房地产开发费用</v>
      </c>
      <c r="B65" s="179" t="str">
        <f>数据对照表!I2</f>
        <v>利息支出</v>
      </c>
      <c r="C65" s="175" t="s">
        <v>272</v>
      </c>
      <c r="D65" s="176">
        <f>SUMIFS('附表7-扣除项目明细采集底稿'!P:P,'附表7-扣除项目明细采集底稿'!E:E,B65,'附表7-扣除项目明细采集底稿'!S:S,"&lt;1")</f>
        <v>0</v>
      </c>
      <c r="E65" s="176">
        <f>SUMIFS('附表7-扣除项目明细采集底稿'!R:R,'附表7-扣除项目明细采集底稿'!E:E,B65,'附表7-扣除项目明细采集底稿'!S:S,"&lt;1")</f>
        <v>0</v>
      </c>
      <c r="F65" s="176" t="s">
        <v>232</v>
      </c>
      <c r="G65" s="176">
        <f>SUMIFS('附表7-扣除项目明细采集底稿'!T:T,'附表7-扣除项目明细采集底稿'!E:E,B65,'附表7-扣除项目明细采集底稿'!S:S,"&lt;1")</f>
        <v>0</v>
      </c>
      <c r="H65" s="176">
        <f t="shared" si="1"/>
        <v>0</v>
      </c>
    </row>
    <row r="66" ht="15.95" customHeight="1" spans="1:8">
      <c r="A66" s="180" t="s">
        <v>68</v>
      </c>
      <c r="B66" s="181"/>
      <c r="C66" s="182"/>
      <c r="D66" s="183">
        <f>SUM(D5:D65)</f>
        <v>0</v>
      </c>
      <c r="E66" s="183">
        <f>SUM(E5:E65)</f>
        <v>0</v>
      </c>
      <c r="F66" s="183">
        <f>SUM(F5:F65)</f>
        <v>0</v>
      </c>
      <c r="G66" s="183">
        <f>SUM(G5:G65)</f>
        <v>0</v>
      </c>
      <c r="H66" s="176">
        <f t="shared" si="1"/>
        <v>0</v>
      </c>
    </row>
  </sheetData>
  <mergeCells count="13">
    <mergeCell ref="A1:H1"/>
    <mergeCell ref="A2:H2"/>
    <mergeCell ref="A66:C66"/>
    <mergeCell ref="A3:A4"/>
    <mergeCell ref="A5:A7"/>
    <mergeCell ref="A8:A13"/>
    <mergeCell ref="A14:A22"/>
    <mergeCell ref="A23:A28"/>
    <mergeCell ref="A29:A39"/>
    <mergeCell ref="A40:A55"/>
    <mergeCell ref="A56:A64"/>
    <mergeCell ref="B3:B4"/>
    <mergeCell ref="C3:C4"/>
  </mergeCells>
  <dataValidations count="2">
    <dataValidation allowBlank="1" showInputMessage="1" showErrorMessage="1" sqref="A49 A5:A46 A47:A48 A50:A65 H5:H45 H46:H49 H50:H66"/>
    <dataValidation type="list" allowBlank="1" showInputMessage="1" showErrorMessage="1" sqref="B65">
      <formula1>"利息支出"</formula1>
    </dataValidation>
  </dataValidations>
  <pageMargins left="0.747916666666667" right="0.747916666666667" top="0.984027777777778" bottom="0.984027777777778" header="0.511805555555556" footer="0.511805555555556"/>
  <pageSetup paperSize="9" scale="98" fitToHeight="0" orientation="landscape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7"/>
  <sheetViews>
    <sheetView zoomScale="90" zoomScaleNormal="90" workbookViewId="0">
      <selection activeCell="T14" sqref="T14"/>
    </sheetView>
  </sheetViews>
  <sheetFormatPr defaultColWidth="3.625" defaultRowHeight="14.25"/>
  <cols>
    <col min="1" max="2" width="3.625" style="49"/>
    <col min="3" max="3" width="10.375" style="49" customWidth="1"/>
    <col min="4" max="4" width="16.875" style="49" customWidth="1"/>
    <col min="5" max="5" width="21.125" style="135" customWidth="1"/>
    <col min="6" max="6" width="20.625" style="135" customWidth="1"/>
    <col min="7" max="7" width="22.625" style="135" customWidth="1"/>
    <col min="8" max="8" width="11.625" style="135" customWidth="1"/>
    <col min="9" max="11" width="23.375" style="135" customWidth="1"/>
    <col min="12" max="12" width="10.5" style="135" customWidth="1"/>
    <col min="13" max="13" width="10.125" style="135" customWidth="1"/>
  </cols>
  <sheetData>
    <row r="1" s="131" customFormat="1" ht="20.25" spans="1:13">
      <c r="A1" s="136" t="s">
        <v>273</v>
      </c>
      <c r="B1" s="136"/>
      <c r="C1" s="136"/>
      <c r="D1" s="136"/>
      <c r="E1" s="137"/>
      <c r="F1" s="137"/>
      <c r="G1" s="137"/>
      <c r="H1" s="137"/>
      <c r="I1" s="137"/>
      <c r="J1" s="137"/>
      <c r="K1" s="137"/>
      <c r="L1" s="137"/>
      <c r="M1" s="137"/>
    </row>
    <row r="2" s="131" customFormat="1" ht="18.75" customHeight="1" spans="1:13">
      <c r="A2" s="138" t="str">
        <f>土地增值税税源明细表!F5&amp;"："&amp;土地增值税税源明细表!H5&amp;"          "&amp;土地增值税税源明细表!A5&amp;"："&amp;土地增值税税源明细表!B5&amp;"          "&amp;"金额单位:人民币元(列至角分)"</f>
        <v>项目编码：          项目名称：          金额单位:人民币元(列至角分)</v>
      </c>
      <c r="B2" s="138"/>
      <c r="C2" s="138"/>
      <c r="D2" s="138"/>
      <c r="E2" s="139"/>
      <c r="F2" s="139"/>
      <c r="G2" s="139"/>
      <c r="H2" s="139"/>
      <c r="I2" s="139"/>
      <c r="J2" s="139"/>
      <c r="K2" s="139"/>
      <c r="L2" s="139"/>
      <c r="M2" s="139"/>
    </row>
    <row r="3" s="132" customFormat="1" ht="24" customHeight="1" spans="1:13">
      <c r="A3" s="140" t="s">
        <v>24</v>
      </c>
      <c r="B3" s="141" t="s">
        <v>198</v>
      </c>
      <c r="C3" s="141"/>
      <c r="D3" s="141"/>
      <c r="E3" s="142" t="s">
        <v>274</v>
      </c>
      <c r="F3" s="142"/>
      <c r="G3" s="142"/>
      <c r="H3" s="142"/>
      <c r="I3" s="152" t="s">
        <v>275</v>
      </c>
      <c r="J3" s="153"/>
      <c r="K3" s="153"/>
      <c r="L3" s="154"/>
      <c r="M3" s="144" t="s">
        <v>68</v>
      </c>
    </row>
    <row r="4" s="133" customFormat="1" ht="24" customHeight="1" spans="1:13">
      <c r="A4" s="143"/>
      <c r="B4" s="141"/>
      <c r="C4" s="141"/>
      <c r="D4" s="141"/>
      <c r="E4" s="144" t="s">
        <v>100</v>
      </c>
      <c r="F4" s="144" t="s">
        <v>101</v>
      </c>
      <c r="G4" s="144" t="s">
        <v>102</v>
      </c>
      <c r="H4" s="144" t="s">
        <v>194</v>
      </c>
      <c r="I4" s="144" t="s">
        <v>100</v>
      </c>
      <c r="J4" s="144" t="s">
        <v>101</v>
      </c>
      <c r="K4" s="144" t="s">
        <v>102</v>
      </c>
      <c r="L4" s="144" t="s">
        <v>194</v>
      </c>
      <c r="M4" s="144"/>
    </row>
    <row r="5" s="134" customFormat="1" ht="24" customHeight="1" spans="1:13">
      <c r="A5" s="145"/>
      <c r="B5" s="141"/>
      <c r="C5" s="141"/>
      <c r="D5" s="141"/>
      <c r="E5" s="329" t="s">
        <v>195</v>
      </c>
      <c r="F5" s="329" t="s">
        <v>169</v>
      </c>
      <c r="G5" s="329" t="s">
        <v>170</v>
      </c>
      <c r="H5" s="329" t="s">
        <v>196</v>
      </c>
      <c r="I5" s="329" t="s">
        <v>203</v>
      </c>
      <c r="J5" s="330" t="s">
        <v>173</v>
      </c>
      <c r="K5" s="329" t="s">
        <v>174</v>
      </c>
      <c r="L5" s="329" t="s">
        <v>276</v>
      </c>
      <c r="M5" s="329" t="s">
        <v>277</v>
      </c>
    </row>
    <row r="6" s="131" customFormat="1" ht="24" customHeight="1" spans="1:13">
      <c r="A6" s="146">
        <v>1</v>
      </c>
      <c r="B6" s="63" t="str">
        <f>数据对照表!B1</f>
        <v>取得土地使用权所支付的金额</v>
      </c>
      <c r="C6" s="63"/>
      <c r="D6" s="63"/>
      <c r="E6" s="147">
        <f>SUMIFS('附表7-扣除项目明细采集底稿'!W:W,'附表7-扣除项目明细采集底稿'!D:D,数据对照表!B1,'附表7-扣除项目明细采集底稿'!V:V,"直接归集成本费用")</f>
        <v>0</v>
      </c>
      <c r="F6" s="147">
        <f>SUMIFS('附表7-扣除项目明细采集底稿'!X:X,'附表7-扣除项目明细采集底稿'!D:D,数据对照表!B1,'附表7-扣除项目明细采集底稿'!V:V,"直接归集成本费用")</f>
        <v>0</v>
      </c>
      <c r="G6" s="147">
        <f>SUMIFS('附表7-扣除项目明细采集底稿'!Y:Y,'附表7-扣除项目明细采集底稿'!D:D,数据对照表!B1,'附表7-扣除项目明细采集底稿'!V:V,"直接归集成本费用")</f>
        <v>0</v>
      </c>
      <c r="H6" s="148">
        <f t="shared" ref="H6:H20" si="0">SUM(E6:G6)</f>
        <v>0</v>
      </c>
      <c r="I6" s="147">
        <f>SUMIFS('附表7-扣除项目明细采集底稿'!W:W,'附表7-扣除项目明细采集底稿'!D:D,数据对照表!B1,'附表7-扣除项目明细采集底稿'!V:V,"共同成本费用")</f>
        <v>0</v>
      </c>
      <c r="J6" s="147">
        <f>SUMIFS('附表7-扣除项目明细采集底稿'!X:X,'附表7-扣除项目明细采集底稿'!D:D,数据对照表!B1,'附表7-扣除项目明细采集底稿'!V:V,"共同成本费用")</f>
        <v>0</v>
      </c>
      <c r="K6" s="147">
        <f>SUMIFS('附表7-扣除项目明细采集底稿'!Y:Y,'附表7-扣除项目明细采集底稿'!D:D,数据对照表!B1,'附表7-扣除项目明细采集底稿'!V:V,"共同成本费用")</f>
        <v>0</v>
      </c>
      <c r="L6" s="148">
        <f t="shared" ref="L6:L20" si="1">SUM(I6:K6)</f>
        <v>0</v>
      </c>
      <c r="M6" s="148">
        <f t="shared" ref="M6:M20" si="2">H6+L6</f>
        <v>0</v>
      </c>
    </row>
    <row r="7" s="131" customFormat="1" ht="24" customHeight="1" spans="1:13">
      <c r="A7" s="146">
        <v>2</v>
      </c>
      <c r="B7" s="146" t="s">
        <v>278</v>
      </c>
      <c r="C7" s="149" t="str">
        <f>数据对照表!B2</f>
        <v>支付的土地出让金额</v>
      </c>
      <c r="D7" s="149"/>
      <c r="E7" s="147">
        <f>SUMIFS('附表7-扣除项目明细采集底稿'!W:W,'附表7-扣除项目明细采集底稿'!E:E,数据对照表!B2,'附表7-扣除项目明细采集底稿'!V:V,"直接归集成本费用")</f>
        <v>0</v>
      </c>
      <c r="F7" s="147">
        <f>SUMIFS('附表7-扣除项目明细采集底稿'!X:X,'附表7-扣除项目明细采集底稿'!E:E,数据对照表!B2,'附表7-扣除项目明细采集底稿'!V:V,"直接归集成本费用")</f>
        <v>0</v>
      </c>
      <c r="G7" s="147">
        <f>SUMIFS('附表7-扣除项目明细采集底稿'!Y:Y,'附表7-扣除项目明细采集底稿'!E:E,数据对照表!B2,'附表7-扣除项目明细采集底稿'!V:V,"直接归集成本费用")</f>
        <v>0</v>
      </c>
      <c r="H7" s="148">
        <f t="shared" si="0"/>
        <v>0</v>
      </c>
      <c r="I7" s="147">
        <f>SUMIFS('附表7-扣除项目明细采集底稿'!W:W,'附表7-扣除项目明细采集底稿'!E:E,数据对照表!B2,'附表7-扣除项目明细采集底稿'!V:V,"共同成本费用")</f>
        <v>0</v>
      </c>
      <c r="J7" s="147">
        <f>SUMIFS('附表7-扣除项目明细采集底稿'!X:X,'附表7-扣除项目明细采集底稿'!E:E,数据对照表!B2,'附表7-扣除项目明细采集底稿'!V:V,"共同成本费用")</f>
        <v>0</v>
      </c>
      <c r="K7" s="147">
        <f>SUMIFS('附表7-扣除项目明细采集底稿'!Y:Y,'附表7-扣除项目明细采集底稿'!E:E,数据对照表!B2,'附表7-扣除项目明细采集底稿'!V:V,"共同成本费用")</f>
        <v>0</v>
      </c>
      <c r="L7" s="148">
        <f t="shared" si="1"/>
        <v>0</v>
      </c>
      <c r="M7" s="148">
        <f t="shared" si="2"/>
        <v>0</v>
      </c>
    </row>
    <row r="8" s="131" customFormat="1" ht="24" customHeight="1" spans="1:13">
      <c r="A8" s="146">
        <v>3</v>
      </c>
      <c r="B8" s="146"/>
      <c r="C8" s="149" t="str">
        <f>数据对照表!B3</f>
        <v>支付的地价款金额</v>
      </c>
      <c r="D8" s="149"/>
      <c r="E8" s="147">
        <f>SUMIFS('附表7-扣除项目明细采集底稿'!W:W,'附表7-扣除项目明细采集底稿'!E:E,数据对照表!B3,'附表7-扣除项目明细采集底稿'!V:V,"直接归集成本费用")</f>
        <v>0</v>
      </c>
      <c r="F8" s="147">
        <f>SUMIFS('附表7-扣除项目明细采集底稿'!X:X,'附表7-扣除项目明细采集底稿'!E:E,数据对照表!B3,'附表7-扣除项目明细采集底稿'!V:V,"直接归集成本费用")</f>
        <v>0</v>
      </c>
      <c r="G8" s="147">
        <f>SUMIFS('附表7-扣除项目明细采集底稿'!Y:Y,'附表7-扣除项目明细采集底稿'!E:E,数据对照表!B3,'附表7-扣除项目明细采集底稿'!V:V,"直接归集成本费用")</f>
        <v>0</v>
      </c>
      <c r="H8" s="148">
        <f t="shared" si="0"/>
        <v>0</v>
      </c>
      <c r="I8" s="147">
        <f>SUMIFS('附表7-扣除项目明细采集底稿'!W:W,'附表7-扣除项目明细采集底稿'!E:E,数据对照表!B3,'附表7-扣除项目明细采集底稿'!V:V,"共同成本费用")</f>
        <v>0</v>
      </c>
      <c r="J8" s="147">
        <f>SUMIFS('附表7-扣除项目明细采集底稿'!X:X,'附表7-扣除项目明细采集底稿'!E:E,数据对照表!B3,'附表7-扣除项目明细采集底稿'!V:V,"共同成本费用")</f>
        <v>0</v>
      </c>
      <c r="K8" s="147">
        <f>SUMIFS('附表7-扣除项目明细采集底稿'!Y:Y,'附表7-扣除项目明细采集底稿'!E:E,数据对照表!B3,'附表7-扣除项目明细采集底稿'!V:V,"共同成本费用")</f>
        <v>0</v>
      </c>
      <c r="L8" s="148">
        <f t="shared" si="1"/>
        <v>0</v>
      </c>
      <c r="M8" s="148">
        <f t="shared" si="2"/>
        <v>0</v>
      </c>
    </row>
    <row r="9" s="131" customFormat="1" ht="24" customHeight="1" spans="1:13">
      <c r="A9" s="146">
        <v>4</v>
      </c>
      <c r="B9" s="146"/>
      <c r="C9" s="149" t="str">
        <f>数据对照表!B4</f>
        <v>交纳的有关税费</v>
      </c>
      <c r="D9" s="149"/>
      <c r="E9" s="150">
        <f>SUMIFS('附表7-扣除项目明细采集底稿'!W:W,'附表7-扣除项目明细采集底稿'!E:E,数据对照表!B4,'附表7-扣除项目明细采集底稿'!V:V,"直接归集成本费用")</f>
        <v>0</v>
      </c>
      <c r="F9" s="150">
        <f>SUMIFS('附表7-扣除项目明细采集底稿'!X:X,'附表7-扣除项目明细采集底稿'!E:E,数据对照表!B4,'附表7-扣除项目明细采集底稿'!V:V,"直接归集成本费用")</f>
        <v>0</v>
      </c>
      <c r="G9" s="150">
        <f>SUMIFS('附表7-扣除项目明细采集底稿'!Y:Y,'附表7-扣除项目明细采集底稿'!E:E,数据对照表!B4,'附表7-扣除项目明细采集底稿'!V:V,"直接归集成本费用")</f>
        <v>0</v>
      </c>
      <c r="H9" s="151">
        <f t="shared" si="0"/>
        <v>0</v>
      </c>
      <c r="I9" s="150">
        <f>SUMIFS('附表7-扣除项目明细采集底稿'!W:W,'附表7-扣除项目明细采集底稿'!E:E,数据对照表!B4,'附表7-扣除项目明细采集底稿'!V:V,"共同成本费用")</f>
        <v>0</v>
      </c>
      <c r="J9" s="150">
        <f>SUMIFS('附表7-扣除项目明细采集底稿'!X:X,'附表7-扣除项目明细采集底稿'!E:E,数据对照表!B4,'附表7-扣除项目明细采集底稿'!V:V,"共同成本费用")</f>
        <v>0</v>
      </c>
      <c r="K9" s="150">
        <f>SUMIFS('附表7-扣除项目明细采集底稿'!Y:Y,'附表7-扣除项目明细采集底稿'!E:E,数据对照表!B4,'附表7-扣除项目明细采集底稿'!V:V,"共同成本费用")</f>
        <v>0</v>
      </c>
      <c r="L9" s="148">
        <f t="shared" si="1"/>
        <v>0</v>
      </c>
      <c r="M9" s="148">
        <f t="shared" si="2"/>
        <v>0</v>
      </c>
    </row>
    <row r="10" s="131" customFormat="1" ht="24" customHeight="1" spans="1:13">
      <c r="A10" s="146">
        <v>5</v>
      </c>
      <c r="B10" s="149" t="s">
        <v>112</v>
      </c>
      <c r="C10" s="149"/>
      <c r="D10" s="149"/>
      <c r="E10" s="147">
        <f>SUMIFS('附表7-扣除项目明细采集底稿'!W:W,'附表7-扣除项目明细采集底稿'!D:D,数据对照表!B1,'附表7-扣除项目明细采集底稿'!V:V,"直接归集成本费用",'附表7-扣除项目明细采集底稿'!AB:AB,"不可加计")</f>
        <v>0</v>
      </c>
      <c r="F10" s="147">
        <f>SUMIFS('附表7-扣除项目明细采集底稿'!X:X,'附表7-扣除项目明细采集底稿'!D:D,数据对照表!B1,'附表7-扣除项目明细采集底稿'!V:V,"直接归集成本费用",'附表7-扣除项目明细采集底稿'!AB:AB,"不可加计")</f>
        <v>0</v>
      </c>
      <c r="G10" s="147">
        <f>SUMIFS('附表7-扣除项目明细采集底稿'!Y:Y,'附表7-扣除项目明细采集底稿'!D:D,数据对照表!B1,'附表7-扣除项目明细采集底稿'!V:V,"直接归集成本费用",'附表7-扣除项目明细采集底稿'!AB:AB,"不可加计")</f>
        <v>0</v>
      </c>
      <c r="H10" s="148">
        <f t="shared" si="0"/>
        <v>0</v>
      </c>
      <c r="I10" s="147">
        <f>SUMIFS('附表7-扣除项目明细采集底稿'!W:W,'附表7-扣除项目明细采集底稿'!D:D,数据对照表!B1,'附表7-扣除项目明细采集底稿'!V:V,"共同成本费用",'附表7-扣除项目明细采集底稿'!AB:AB,"不可加计")</f>
        <v>0</v>
      </c>
      <c r="J10" s="147">
        <f>SUMIFS('附表7-扣除项目明细采集底稿'!X:X,'附表7-扣除项目明细采集底稿'!D:D,数据对照表!B1,'附表7-扣除项目明细采集底稿'!V:V,"共同成本费用",'附表7-扣除项目明细采集底稿'!AB:AB,"不可加计")</f>
        <v>0</v>
      </c>
      <c r="K10" s="147">
        <f>SUMIFS('附表7-扣除项目明细采集底稿'!Y:Y,'附表7-扣除项目明细采集底稿'!D:D,数据对照表!B1,'附表7-扣除项目明细采集底稿'!V:V,"共同成本费用",'附表7-扣除项目明细采集底稿'!AB:AB,"不可加计")</f>
        <v>0</v>
      </c>
      <c r="L10" s="148">
        <f t="shared" si="1"/>
        <v>0</v>
      </c>
      <c r="M10" s="148">
        <f t="shared" si="2"/>
        <v>0</v>
      </c>
    </row>
    <row r="11" s="131" customFormat="1" ht="24" customHeight="1" spans="1:13">
      <c r="A11" s="146">
        <v>6</v>
      </c>
      <c r="B11" s="149" t="s">
        <v>279</v>
      </c>
      <c r="C11" s="149"/>
      <c r="D11" s="149"/>
      <c r="E11" s="147">
        <f>SUM(SUMIFS('附表7-扣除项目明细采集底稿'!W:W,'附表7-扣除项目明细采集底稿'!D:D,"土地征用及拆迁补偿费",'附表7-扣除项目明细采集底稿'!V:V,"直接归集成本费用"),SUMIFS('附表7-扣除项目明细采集底稿'!W:W,'附表7-扣除项目明细采集底稿'!D:D,"前期工程费",'附表7-扣除项目明细采集底稿'!V:V,"直接归集成本费用"),SUMIFS('附表7-扣除项目明细采集底稿'!W:W,'附表7-扣除项目明细采集底稿'!D:D,"建筑安装工程费",'附表7-扣除项目明细采集底稿'!V:V,"直接归集成本费用"),SUMIFS('附表7-扣除项目明细采集底稿'!W:W,'附表7-扣除项目明细采集底稿'!D:D,"基础设施费",'附表7-扣除项目明细采集底稿'!V:V,"直接归集成本费用"),SUMIFS('附表7-扣除项目明细采集底稿'!W:W,'附表7-扣除项目明细采集底稿'!D:D,"公共配套设施费",'附表7-扣除项目明细采集底稿'!V:V,"直接归集成本费用"),SUMIFS('附表7-扣除项目明细采集底稿'!W:W,'附表7-扣除项目明细采集底稿'!D:D,"开发间接费用",'附表7-扣除项目明细采集底稿'!V:V,"直接归集成本费用"))</f>
        <v>0</v>
      </c>
      <c r="F11" s="147">
        <f>SUM(SUMIFS('附表7-扣除项目明细采集底稿'!X:X,'附表7-扣除项目明细采集底稿'!D:D,"土地征用及拆迁补偿费",'附表7-扣除项目明细采集底稿'!V:V,"直接归集成本费用"),SUMIFS('附表7-扣除项目明细采集底稿'!X:X,'附表7-扣除项目明细采集底稿'!D:D,"前期工程费",'附表7-扣除项目明细采集底稿'!V:V,"直接归集成本费用"),SUMIFS('附表7-扣除项目明细采集底稿'!X:X,'附表7-扣除项目明细采集底稿'!D:D,"建筑安装工程费",'附表7-扣除项目明细采集底稿'!V:V,"直接归集成本费用"),SUMIFS('附表7-扣除项目明细采集底稿'!X:X,'附表7-扣除项目明细采集底稿'!D:D,"基础设施费",'附表7-扣除项目明细采集底稿'!V:V,"直接归集成本费用"),SUMIFS('附表7-扣除项目明细采集底稿'!X:X,'附表7-扣除项目明细采集底稿'!D:D,"公共配套设施费",'附表7-扣除项目明细采集底稿'!V:V,"直接归集成本费用"),SUMIFS('附表7-扣除项目明细采集底稿'!X:X,'附表7-扣除项目明细采集底稿'!D:D,"开发间接费用",'附表7-扣除项目明细采集底稿'!V:V,"直接归集成本费用"))</f>
        <v>0</v>
      </c>
      <c r="G11" s="147">
        <f>SUM(SUMIFS('附表7-扣除项目明细采集底稿'!Y:Y,'附表7-扣除项目明细采集底稿'!D:D,"土地征用及拆迁补偿费",'附表7-扣除项目明细采集底稿'!V:V,"直接归集成本费用"),SUMIFS('附表7-扣除项目明细采集底稿'!Y:Y,'附表7-扣除项目明细采集底稿'!D:D,"前期工程费",'附表7-扣除项目明细采集底稿'!V:V,"直接归集成本费用"),SUMIFS('附表7-扣除项目明细采集底稿'!Y:Y,'附表7-扣除项目明细采集底稿'!D:D,"建筑安装工程费",'附表7-扣除项目明细采集底稿'!V:V,"直接归集成本费用"),SUMIFS('附表7-扣除项目明细采集底稿'!Y:Y,'附表7-扣除项目明细采集底稿'!D:D,"基础设施费",'附表7-扣除项目明细采集底稿'!V:V,"直接归集成本费用"),SUMIFS('附表7-扣除项目明细采集底稿'!Y:Y,'附表7-扣除项目明细采集底稿'!D:D,"公共配套设施费",'附表7-扣除项目明细采集底稿'!V:V,"直接归集成本费用"),SUMIFS('附表7-扣除项目明细采集底稿'!Y:Y,'附表7-扣除项目明细采集底稿'!D:D,"开发间接费用",'附表7-扣除项目明细采集底稿'!V:V,"直接归集成本费用"))</f>
        <v>0</v>
      </c>
      <c r="H11" s="148">
        <f t="shared" si="0"/>
        <v>0</v>
      </c>
      <c r="I11" s="147">
        <f>SUM(SUMIFS('附表7-扣除项目明细采集底稿'!W:W,'附表7-扣除项目明细采集底稿'!D:D,"土地征用及拆迁补偿费",'附表7-扣除项目明细采集底稿'!V:V,"共同成本费用"),SUMIFS('附表7-扣除项目明细采集底稿'!W:W,'附表7-扣除项目明细采集底稿'!D:D,"前期工程费",'附表7-扣除项目明细采集底稿'!V:V,"共同成本费用"),SUMIFS('附表7-扣除项目明细采集底稿'!W:W,'附表7-扣除项目明细采集底稿'!D:D,"建筑安装工程费",'附表7-扣除项目明细采集底稿'!V:V,"共同成本费用"),SUMIFS('附表7-扣除项目明细采集底稿'!W:W,'附表7-扣除项目明细采集底稿'!D:D,"基础设施费",'附表7-扣除项目明细采集底稿'!V:V,"共同成本费用"),SUMIFS('附表7-扣除项目明细采集底稿'!W:W,'附表7-扣除项目明细采集底稿'!D:D,"公共配套设施费",'附表7-扣除项目明细采集底稿'!V:V,"共同成本费用"),SUMIFS('附表7-扣除项目明细采集底稿'!W:W,'附表7-扣除项目明细采集底稿'!D:D,"开发间接费用",'附表7-扣除项目明细采集底稿'!V:V,"共同成本费用"))</f>
        <v>0</v>
      </c>
      <c r="J11" s="147">
        <f>SUM(SUMIFS('附表7-扣除项目明细采集底稿'!X:X,'附表7-扣除项目明细采集底稿'!D:D,"土地征用及拆迁补偿费",'附表7-扣除项目明细采集底稿'!V:V,"共同成本费用"),SUMIFS('附表7-扣除项目明细采集底稿'!X:X,'附表7-扣除项目明细采集底稿'!D:D,"前期工程费",'附表7-扣除项目明细采集底稿'!V:V,"共同成本费用"),SUMIFS('附表7-扣除项目明细采集底稿'!X:X,'附表7-扣除项目明细采集底稿'!D:D,"建筑安装工程费",'附表7-扣除项目明细采集底稿'!V:V,"共同成本费用"),SUMIFS('附表7-扣除项目明细采集底稿'!X:X,'附表7-扣除项目明细采集底稿'!D:D,"基础设施费",'附表7-扣除项目明细采集底稿'!V:V,"共同成本费用"),SUMIFS('附表7-扣除项目明细采集底稿'!X:X,'附表7-扣除项目明细采集底稿'!D:D,"公共配套设施费",'附表7-扣除项目明细采集底稿'!V:V,"共同成本费用"),SUMIFS('附表7-扣除项目明细采集底稿'!X:X,'附表7-扣除项目明细采集底稿'!D:D,"开发间接费用",'附表7-扣除项目明细采集底稿'!V:V,"共同成本费用"))</f>
        <v>0</v>
      </c>
      <c r="K11" s="147">
        <f>SUM(SUMIFS('附表7-扣除项目明细采集底稿'!Y:Y,'附表7-扣除项目明细采集底稿'!D:D,"土地征用及拆迁补偿费",'附表7-扣除项目明细采集底稿'!V:V,"共同成本费用"),SUMIFS('附表7-扣除项目明细采集底稿'!Y:Y,'附表7-扣除项目明细采集底稿'!D:D,"前期工程费",'附表7-扣除项目明细采集底稿'!V:V,"共同成本费用"),SUMIFS('附表7-扣除项目明细采集底稿'!Y:Y,'附表7-扣除项目明细采集底稿'!D:D,"建筑安装工程费",'附表7-扣除项目明细采集底稿'!V:V,"共同成本费用"),SUMIFS('附表7-扣除项目明细采集底稿'!Y:Y,'附表7-扣除项目明细采集底稿'!D:D,"基础设施费",'附表7-扣除项目明细采集底稿'!V:V,"共同成本费用"),SUMIFS('附表7-扣除项目明细采集底稿'!Y:Y,'附表7-扣除项目明细采集底稿'!D:D,"公共配套设施费",'附表7-扣除项目明细采集底稿'!V:V,"共同成本费用"),SUMIFS('附表7-扣除项目明细采集底稿'!Y:Y,'附表7-扣除项目明细采集底稿'!D:D,"开发间接费用",'附表7-扣除项目明细采集底稿'!V:V,"共同成本费用"))</f>
        <v>0</v>
      </c>
      <c r="L11" s="148">
        <f t="shared" si="1"/>
        <v>0</v>
      </c>
      <c r="M11" s="148">
        <f t="shared" si="2"/>
        <v>0</v>
      </c>
    </row>
    <row r="12" s="131" customFormat="1" ht="24" customHeight="1" spans="1:13">
      <c r="A12" s="146">
        <v>7</v>
      </c>
      <c r="B12" s="146" t="s">
        <v>278</v>
      </c>
      <c r="C12" s="63" t="str">
        <f>数据对照表!C1</f>
        <v>土地征用及拆迁补偿费</v>
      </c>
      <c r="D12" s="63"/>
      <c r="E12" s="147">
        <f>SUMIFS('附表7-扣除项目明细采集底稿'!W:W,'附表7-扣除项目明细采集底稿'!D:D,数据对照表!C1,'附表7-扣除项目明细采集底稿'!V:V,"直接归集成本费用")</f>
        <v>0</v>
      </c>
      <c r="F12" s="147">
        <f>SUMIFS('附表7-扣除项目明细采集底稿'!X:X,'附表7-扣除项目明细采集底稿'!D:D,数据对照表!C1,'附表7-扣除项目明细采集底稿'!V:V,"直接归集成本费用")</f>
        <v>0</v>
      </c>
      <c r="G12" s="147">
        <f>SUMIFS('附表7-扣除项目明细采集底稿'!Y:Y,'附表7-扣除项目明细采集底稿'!D:D,数据对照表!C1,'附表7-扣除项目明细采集底稿'!V:V,"直接归集成本费用")</f>
        <v>0</v>
      </c>
      <c r="H12" s="148">
        <f t="shared" si="0"/>
        <v>0</v>
      </c>
      <c r="I12" s="147">
        <f>SUMIFS('附表7-扣除项目明细采集底稿'!W:W,'附表7-扣除项目明细采集底稿'!D:D,数据对照表!C1,'附表7-扣除项目明细采集底稿'!V:V,"共同成本费用")</f>
        <v>0</v>
      </c>
      <c r="J12" s="147">
        <f>SUMIFS('附表7-扣除项目明细采集底稿'!X:X,'附表7-扣除项目明细采集底稿'!D:D,数据对照表!C1,'附表7-扣除项目明细采集底稿'!V:V,"共同成本费用")</f>
        <v>0</v>
      </c>
      <c r="K12" s="147">
        <f>SUMIFS('附表7-扣除项目明细采集底稿'!Y:Y,'附表7-扣除项目明细采集底稿'!D:D,数据对照表!C1,'附表7-扣除项目明细采集底稿'!V:V,"共同成本费用")</f>
        <v>0</v>
      </c>
      <c r="L12" s="148">
        <f t="shared" si="1"/>
        <v>0</v>
      </c>
      <c r="M12" s="148">
        <f t="shared" si="2"/>
        <v>0</v>
      </c>
    </row>
    <row r="13" s="131" customFormat="1" ht="24" customHeight="1" spans="1:13">
      <c r="A13" s="146">
        <v>8</v>
      </c>
      <c r="B13" s="146"/>
      <c r="C13" s="146" t="s">
        <v>278</v>
      </c>
      <c r="D13" s="149" t="str">
        <f>数据对照表!C2</f>
        <v>土地征用费用</v>
      </c>
      <c r="E13" s="147">
        <f>SUMIFS('附表7-扣除项目明细采集底稿'!W:W,'附表7-扣除项目明细采集底稿'!E:E,数据对照表!C2,'附表7-扣除项目明细采集底稿'!V:V,"直接归集成本费用")</f>
        <v>0</v>
      </c>
      <c r="F13" s="147">
        <f>SUMIFS('附表7-扣除项目明细采集底稿'!X:X,'附表7-扣除项目明细采集底稿'!E:E,数据对照表!C2,'附表7-扣除项目明细采集底稿'!V:V,"直接归集成本费用")</f>
        <v>0</v>
      </c>
      <c r="G13" s="147">
        <f>SUMIFS('附表7-扣除项目明细采集底稿'!Y:Y,'附表7-扣除项目明细采集底稿'!E:E,数据对照表!C2,'附表7-扣除项目明细采集底稿'!V:V,"直接归集成本费用")</f>
        <v>0</v>
      </c>
      <c r="H13" s="148">
        <f t="shared" si="0"/>
        <v>0</v>
      </c>
      <c r="I13" s="147">
        <f>SUMIFS('附表7-扣除项目明细采集底稿'!W:W,'附表7-扣除项目明细采集底稿'!E:E,数据对照表!C2,'附表7-扣除项目明细采集底稿'!V:V,"共同成本费用")</f>
        <v>0</v>
      </c>
      <c r="J13" s="147">
        <f>SUMIFS('附表7-扣除项目明细采集底稿'!X:X,'附表7-扣除项目明细采集底稿'!E:E,数据对照表!C2,'附表7-扣除项目明细采集底稿'!V:V,"共同成本费用")</f>
        <v>0</v>
      </c>
      <c r="K13" s="147">
        <f>SUMIFS('附表7-扣除项目明细采集底稿'!Y:Y,'附表7-扣除项目明细采集底稿'!E:E,数据对照表!C2,'附表7-扣除项目明细采集底稿'!V:V,"共同成本费用")</f>
        <v>0</v>
      </c>
      <c r="L13" s="148">
        <f t="shared" si="1"/>
        <v>0</v>
      </c>
      <c r="M13" s="148">
        <f t="shared" si="2"/>
        <v>0</v>
      </c>
    </row>
    <row r="14" s="131" customFormat="1" ht="24" customHeight="1" spans="1:13">
      <c r="A14" s="146">
        <v>9</v>
      </c>
      <c r="B14" s="146"/>
      <c r="C14" s="146"/>
      <c r="D14" s="149" t="str">
        <f>数据对照表!C3</f>
        <v>耕地占用税</v>
      </c>
      <c r="E14" s="147">
        <f>SUMIFS('附表7-扣除项目明细采集底稿'!W:W,'附表7-扣除项目明细采集底稿'!E:E,数据对照表!C3,'附表7-扣除项目明细采集底稿'!V:V,"直接归集成本费用")</f>
        <v>0</v>
      </c>
      <c r="F14" s="147">
        <f>SUMIFS('附表7-扣除项目明细采集底稿'!X:X,'附表7-扣除项目明细采集底稿'!E:E,数据对照表!C3,'附表7-扣除项目明细采集底稿'!V:V,"直接归集成本费用")</f>
        <v>0</v>
      </c>
      <c r="G14" s="147">
        <f>SUMIFS('附表7-扣除项目明细采集底稿'!Y:Y,'附表7-扣除项目明细采集底稿'!E:E,数据对照表!C3,'附表7-扣除项目明细采集底稿'!V:V,"直接归集成本费用")</f>
        <v>0</v>
      </c>
      <c r="H14" s="148">
        <f t="shared" si="0"/>
        <v>0</v>
      </c>
      <c r="I14" s="147">
        <f>SUMIFS('附表7-扣除项目明细采集底稿'!W:W,'附表7-扣除项目明细采集底稿'!E:E,数据对照表!C3,'附表7-扣除项目明细采集底稿'!V:V,"共同成本费用")</f>
        <v>0</v>
      </c>
      <c r="J14" s="147">
        <f>SUMIFS('附表7-扣除项目明细采集底稿'!X:X,'附表7-扣除项目明细采集底稿'!E:E,数据对照表!C3,'附表7-扣除项目明细采集底稿'!V:V,"共同成本费用")</f>
        <v>0</v>
      </c>
      <c r="K14" s="147">
        <f>SUMIFS('附表7-扣除项目明细采集底稿'!Y:Y,'附表7-扣除项目明细采集底稿'!E:E,数据对照表!C3,'附表7-扣除项目明细采集底稿'!V:V,"共同成本费用")</f>
        <v>0</v>
      </c>
      <c r="L14" s="148">
        <f t="shared" si="1"/>
        <v>0</v>
      </c>
      <c r="M14" s="148">
        <f t="shared" si="2"/>
        <v>0</v>
      </c>
    </row>
    <row r="15" s="131" customFormat="1" ht="24" customHeight="1" spans="1:13">
      <c r="A15" s="146">
        <v>10</v>
      </c>
      <c r="B15" s="146"/>
      <c r="C15" s="146"/>
      <c r="D15" s="149" t="str">
        <f>数据对照表!C4</f>
        <v>劳动力安置费</v>
      </c>
      <c r="E15" s="147">
        <f>SUMIFS('附表7-扣除项目明细采集底稿'!W:W,'附表7-扣除项目明细采集底稿'!E:E,数据对照表!C4,'附表7-扣除项目明细采集底稿'!V:V,"直接归集成本费用")</f>
        <v>0</v>
      </c>
      <c r="F15" s="147">
        <f>SUMIFS('附表7-扣除项目明细采集底稿'!X:X,'附表7-扣除项目明细采集底稿'!E:E,数据对照表!C4,'附表7-扣除项目明细采集底稿'!V:V,"直接归集成本费用")</f>
        <v>0</v>
      </c>
      <c r="G15" s="147">
        <f>SUMIFS('附表7-扣除项目明细采集底稿'!Y:Y,'附表7-扣除项目明细采集底稿'!E:E,数据对照表!C4,'附表7-扣除项目明细采集底稿'!V:V,"直接归集成本费用")</f>
        <v>0</v>
      </c>
      <c r="H15" s="148">
        <f t="shared" si="0"/>
        <v>0</v>
      </c>
      <c r="I15" s="147">
        <f>SUMIFS('附表7-扣除项目明细采集底稿'!W:W,'附表7-扣除项目明细采集底稿'!E:E,数据对照表!C4,'附表7-扣除项目明细采集底稿'!V:V,"共同成本费用")</f>
        <v>0</v>
      </c>
      <c r="J15" s="147">
        <f>SUMIFS('附表7-扣除项目明细采集底稿'!X:X,'附表7-扣除项目明细采集底稿'!E:E,数据对照表!C4,'附表7-扣除项目明细采集底稿'!V:V,"共同成本费用")</f>
        <v>0</v>
      </c>
      <c r="K15" s="147">
        <f>SUMIFS('附表7-扣除项目明细采集底稿'!Y:Y,'附表7-扣除项目明细采集底稿'!E:E,数据对照表!C4,'附表7-扣除项目明细采集底稿'!V:V,"共同成本费用")</f>
        <v>0</v>
      </c>
      <c r="L15" s="148">
        <f t="shared" si="1"/>
        <v>0</v>
      </c>
      <c r="M15" s="148">
        <f t="shared" si="2"/>
        <v>0</v>
      </c>
    </row>
    <row r="16" s="131" customFormat="1" ht="24" customHeight="1" spans="1:13">
      <c r="A16" s="146">
        <v>11</v>
      </c>
      <c r="B16" s="146"/>
      <c r="C16" s="146"/>
      <c r="D16" s="149" t="str">
        <f>数据对照表!C5</f>
        <v>安置动迁用房支出</v>
      </c>
      <c r="E16" s="147">
        <f>SUMIFS('附表7-扣除项目明细采集底稿'!W:W,'附表7-扣除项目明细采集底稿'!E:E,数据对照表!C5,'附表7-扣除项目明细采集底稿'!V:V,"直接归集成本费用")</f>
        <v>0</v>
      </c>
      <c r="F16" s="147">
        <f>SUMIFS('附表7-扣除项目明细采集底稿'!X:X,'附表7-扣除项目明细采集底稿'!E:E,数据对照表!C5,'附表7-扣除项目明细采集底稿'!V:V,"直接归集成本费用")</f>
        <v>0</v>
      </c>
      <c r="G16" s="147">
        <f>SUMIFS('附表7-扣除项目明细采集底稿'!Y:Y,'附表7-扣除项目明细采集底稿'!E:E,数据对照表!C5,'附表7-扣除项目明细采集底稿'!V:V,"直接归集成本费用")</f>
        <v>0</v>
      </c>
      <c r="H16" s="148">
        <f t="shared" si="0"/>
        <v>0</v>
      </c>
      <c r="I16" s="147">
        <f>SUMIFS('附表7-扣除项目明细采集底稿'!W:W,'附表7-扣除项目明细采集底稿'!E:E,数据对照表!C5,'附表7-扣除项目明细采集底稿'!V:V,"共同成本费用")</f>
        <v>0</v>
      </c>
      <c r="J16" s="147">
        <f>SUMIFS('附表7-扣除项目明细采集底稿'!X:X,'附表7-扣除项目明细采集底稿'!E:E,数据对照表!C5,'附表7-扣除项目明细采集底稿'!V:V,"共同成本费用")</f>
        <v>0</v>
      </c>
      <c r="K16" s="147">
        <f>SUMIFS('附表7-扣除项目明细采集底稿'!Y:Y,'附表7-扣除项目明细采集底稿'!E:E,数据对照表!C5,'附表7-扣除项目明细采集底稿'!V:V,"共同成本费用")</f>
        <v>0</v>
      </c>
      <c r="L16" s="148">
        <f t="shared" si="1"/>
        <v>0</v>
      </c>
      <c r="M16" s="148">
        <f t="shared" si="2"/>
        <v>0</v>
      </c>
    </row>
    <row r="17" s="131" customFormat="1" ht="24" customHeight="1" spans="1:13">
      <c r="A17" s="146">
        <v>12</v>
      </c>
      <c r="B17" s="146"/>
      <c r="C17" s="146"/>
      <c r="D17" s="149" t="str">
        <f>数据对照表!C6</f>
        <v>拆迁补偿费</v>
      </c>
      <c r="E17" s="147">
        <f>SUMIFS('附表7-扣除项目明细采集底稿'!W:W,'附表7-扣除项目明细采集底稿'!E:E,数据对照表!C6,'附表7-扣除项目明细采集底稿'!V:V,"直接归集成本费用")</f>
        <v>0</v>
      </c>
      <c r="F17" s="147">
        <f>SUMIFS('附表7-扣除项目明细采集底稿'!X:X,'附表7-扣除项目明细采集底稿'!E:E,数据对照表!C6,'附表7-扣除项目明细采集底稿'!V:V,"直接归集成本费用")</f>
        <v>0</v>
      </c>
      <c r="G17" s="147">
        <f>SUMIFS('附表7-扣除项目明细采集底稿'!Y:Y,'附表7-扣除项目明细采集底稿'!E:E,数据对照表!C6,'附表7-扣除项目明细采集底稿'!V:V,"直接归集成本费用")</f>
        <v>0</v>
      </c>
      <c r="H17" s="148">
        <f t="shared" si="0"/>
        <v>0</v>
      </c>
      <c r="I17" s="147">
        <f>SUMIFS('附表7-扣除项目明细采集底稿'!W:W,'附表7-扣除项目明细采集底稿'!E:E,数据对照表!C6,'附表7-扣除项目明细采集底稿'!V:V,"共同成本费用")</f>
        <v>0</v>
      </c>
      <c r="J17" s="147">
        <f>SUMIFS('附表7-扣除项目明细采集底稿'!X:X,'附表7-扣除项目明细采集底稿'!E:E,数据对照表!C6,'附表7-扣除项目明细采集底稿'!V:V,"共同成本费用")</f>
        <v>0</v>
      </c>
      <c r="K17" s="147">
        <f>SUMIFS('附表7-扣除项目明细采集底稿'!Y:Y,'附表7-扣除项目明细采集底稿'!E:E,数据对照表!C6,'附表7-扣除项目明细采集底稿'!V:V,"共同成本费用")</f>
        <v>0</v>
      </c>
      <c r="L17" s="148">
        <f t="shared" si="1"/>
        <v>0</v>
      </c>
      <c r="M17" s="148">
        <f t="shared" si="2"/>
        <v>0</v>
      </c>
    </row>
    <row r="18" s="131" customFormat="1" ht="27.95" customHeight="1" spans="1:13">
      <c r="A18" s="146">
        <v>13</v>
      </c>
      <c r="B18" s="146"/>
      <c r="C18" s="146"/>
      <c r="D18" s="149" t="str">
        <f>数据对照表!C7</f>
        <v>其他土地征用及拆迁补偿费</v>
      </c>
      <c r="E18" s="147">
        <f>SUMIFS('附表7-扣除项目明细采集底稿'!W:W,'附表7-扣除项目明细采集底稿'!E:E,数据对照表!C7,'附表7-扣除项目明细采集底稿'!V:V,"直接归集成本费用")</f>
        <v>0</v>
      </c>
      <c r="F18" s="147">
        <f>SUMIFS('附表7-扣除项目明细采集底稿'!X:X,'附表7-扣除项目明细采集底稿'!E:E,数据对照表!C7,'附表7-扣除项目明细采集底稿'!V:V,"直接归集成本费用")</f>
        <v>0</v>
      </c>
      <c r="G18" s="147">
        <f>SUMIFS('附表7-扣除项目明细采集底稿'!Y:Y,'附表7-扣除项目明细采集底稿'!E:E,数据对照表!C7,'附表7-扣除项目明细采集底稿'!V:V,"直接归集成本费用")</f>
        <v>0</v>
      </c>
      <c r="H18" s="148">
        <f t="shared" si="0"/>
        <v>0</v>
      </c>
      <c r="I18" s="147">
        <f>SUMIFS('附表7-扣除项目明细采集底稿'!W:W,'附表7-扣除项目明细采集底稿'!E:E,数据对照表!C7,'附表7-扣除项目明细采集底稿'!V:V,"共同成本费用")</f>
        <v>0</v>
      </c>
      <c r="J18" s="147">
        <f>SUMIFS('附表7-扣除项目明细采集底稿'!X:X,'附表7-扣除项目明细采集底稿'!E:E,数据对照表!C7,'附表7-扣除项目明细采集底稿'!V:V,"共同成本费用")</f>
        <v>0</v>
      </c>
      <c r="K18" s="147">
        <f>SUMIFS('附表7-扣除项目明细采集底稿'!Y:Y,'附表7-扣除项目明细采集底稿'!E:E,数据对照表!C7,'附表7-扣除项目明细采集底稿'!V:V,"共同成本费用")</f>
        <v>0</v>
      </c>
      <c r="L18" s="148">
        <f t="shared" si="1"/>
        <v>0</v>
      </c>
      <c r="M18" s="148">
        <f t="shared" si="2"/>
        <v>0</v>
      </c>
    </row>
    <row r="19" s="131" customFormat="1" ht="24" customHeight="1" spans="1:13">
      <c r="A19" s="146">
        <v>14</v>
      </c>
      <c r="B19" s="146"/>
      <c r="C19" s="149" t="str">
        <f>数据对照表!D1</f>
        <v>前期工程费</v>
      </c>
      <c r="D19" s="149"/>
      <c r="E19" s="147">
        <f>SUMIFS('附表7-扣除项目明细采集底稿'!W:W,'附表7-扣除项目明细采集底稿'!D:D,数据对照表!D1,'附表7-扣除项目明细采集底稿'!V:V,"直接归集成本费用")</f>
        <v>0</v>
      </c>
      <c r="F19" s="147">
        <f>SUMIFS('附表7-扣除项目明细采集底稿'!X:X,'附表7-扣除项目明细采集底稿'!D:D,数据对照表!D1,'附表7-扣除项目明细采集底稿'!V:V,"直接归集成本费用")</f>
        <v>0</v>
      </c>
      <c r="G19" s="147">
        <f>SUMIFS('附表7-扣除项目明细采集底稿'!Y:Y,'附表7-扣除项目明细采集底稿'!D:D,数据对照表!D1,'附表7-扣除项目明细采集底稿'!V:V,"直接归集成本费用")</f>
        <v>0</v>
      </c>
      <c r="H19" s="148">
        <f t="shared" si="0"/>
        <v>0</v>
      </c>
      <c r="I19" s="147">
        <f>SUMIFS('附表7-扣除项目明细采集底稿'!W:W,'附表7-扣除项目明细采集底稿'!D:D,数据对照表!D1,'附表7-扣除项目明细采集底稿'!V:V,"共同成本费用")</f>
        <v>0</v>
      </c>
      <c r="J19" s="147">
        <f>SUMIFS('附表7-扣除项目明细采集底稿'!X:X,'附表7-扣除项目明细采集底稿'!D:D,数据对照表!D1,'附表7-扣除项目明细采集底稿'!V:V,"共同成本费用")</f>
        <v>0</v>
      </c>
      <c r="K19" s="147">
        <f>SUMIFS('附表7-扣除项目明细采集底稿'!Y:Y,'附表7-扣除项目明细采集底稿'!D:D,数据对照表!D1,'附表7-扣除项目明细采集底稿'!V:V,"共同成本费用")</f>
        <v>0</v>
      </c>
      <c r="L19" s="148">
        <f t="shared" si="1"/>
        <v>0</v>
      </c>
      <c r="M19" s="148">
        <f t="shared" si="2"/>
        <v>0</v>
      </c>
    </row>
    <row r="20" s="131" customFormat="1" ht="24" customHeight="1" spans="1:13">
      <c r="A20" s="146">
        <v>15</v>
      </c>
      <c r="B20" s="146"/>
      <c r="C20" s="146" t="s">
        <v>278</v>
      </c>
      <c r="D20" s="149" t="str">
        <f>数据对照表!D2</f>
        <v>规划费用</v>
      </c>
      <c r="E20" s="147">
        <f>SUMIFS('附表7-扣除项目明细采集底稿'!W:W,'附表7-扣除项目明细采集底稿'!E:E,数据对照表!D2,'附表7-扣除项目明细采集底稿'!V:V,"直接归集成本费用")</f>
        <v>0</v>
      </c>
      <c r="F20" s="147">
        <f>SUMIFS('附表7-扣除项目明细采集底稿'!X:X,'附表7-扣除项目明细采集底稿'!E:E,数据对照表!D2,'附表7-扣除项目明细采集底稿'!V:V,"直接归集成本费用")</f>
        <v>0</v>
      </c>
      <c r="G20" s="147">
        <f>SUMIFS('附表7-扣除项目明细采集底稿'!Y:Y,'附表7-扣除项目明细采集底稿'!E:E,数据对照表!D2,'附表7-扣除项目明细采集底稿'!V:V,"直接归集成本费用")</f>
        <v>0</v>
      </c>
      <c r="H20" s="148">
        <f t="shared" si="0"/>
        <v>0</v>
      </c>
      <c r="I20" s="147">
        <f>SUMIFS('附表7-扣除项目明细采集底稿'!W:W,'附表7-扣除项目明细采集底稿'!E:E,数据对照表!D2,'附表7-扣除项目明细采集底稿'!V:V,"共同成本费用")</f>
        <v>0</v>
      </c>
      <c r="J20" s="147">
        <f>SUMIFS('附表7-扣除项目明细采集底稿'!X:X,'附表7-扣除项目明细采集底稿'!E:E,数据对照表!D2,'附表7-扣除项目明细采集底稿'!V:V,"共同成本费用")</f>
        <v>0</v>
      </c>
      <c r="K20" s="147">
        <f>SUMIFS('附表7-扣除项目明细采集底稿'!Y:Y,'附表7-扣除项目明细采集底稿'!E:E,数据对照表!D2,'附表7-扣除项目明细采集底稿'!V:V,"共同成本费用")</f>
        <v>0</v>
      </c>
      <c r="L20" s="148">
        <f t="shared" si="1"/>
        <v>0</v>
      </c>
      <c r="M20" s="148">
        <f t="shared" si="2"/>
        <v>0</v>
      </c>
    </row>
    <row r="21" s="131" customFormat="1" ht="24" customHeight="1" spans="1:13">
      <c r="A21" s="146">
        <v>16</v>
      </c>
      <c r="B21" s="146"/>
      <c r="C21" s="146"/>
      <c r="D21" s="149" t="str">
        <f>数据对照表!D3</f>
        <v>设计费用</v>
      </c>
      <c r="E21" s="147">
        <f>SUMIFS('附表7-扣除项目明细采集底稿'!W:W,'附表7-扣除项目明细采集底稿'!E:E,数据对照表!D3,'附表7-扣除项目明细采集底稿'!V:V,"直接归集成本费用")</f>
        <v>0</v>
      </c>
      <c r="F21" s="147">
        <f>SUMIFS('附表7-扣除项目明细采集底稿'!X:X,'附表7-扣除项目明细采集底稿'!E:E,数据对照表!D3,'附表7-扣除项目明细采集底稿'!V:V,"直接归集成本费用")</f>
        <v>0</v>
      </c>
      <c r="G21" s="147">
        <f>SUMIFS('附表7-扣除项目明细采集底稿'!Y:Y,'附表7-扣除项目明细采集底稿'!E:E,数据对照表!D3,'附表7-扣除项目明细采集底稿'!V:V,"直接归集成本费用")</f>
        <v>0</v>
      </c>
      <c r="H21" s="148">
        <f t="shared" ref="H21:H37" si="3">SUM(E21:G21)</f>
        <v>0</v>
      </c>
      <c r="I21" s="147">
        <f>SUMIFS('附表7-扣除项目明细采集底稿'!W:W,'附表7-扣除项目明细采集底稿'!E:E,数据对照表!D3,'附表7-扣除项目明细采集底稿'!V:V,"共同成本费用")</f>
        <v>0</v>
      </c>
      <c r="J21" s="147">
        <f>SUMIFS('附表7-扣除项目明细采集底稿'!X:X,'附表7-扣除项目明细采集底稿'!E:E,数据对照表!D3,'附表7-扣除项目明细采集底稿'!V:V,"共同成本费用")</f>
        <v>0</v>
      </c>
      <c r="K21" s="147">
        <f>SUMIFS('附表7-扣除项目明细采集底稿'!Y:Y,'附表7-扣除项目明细采集底稿'!E:E,数据对照表!D3,'附表7-扣除项目明细采集底稿'!V:V,"共同成本费用")</f>
        <v>0</v>
      </c>
      <c r="L21" s="148">
        <f t="shared" ref="L21:L37" si="4">SUM(I21:K21)</f>
        <v>0</v>
      </c>
      <c r="M21" s="148">
        <f t="shared" ref="M21:M37" si="5">H21+L21</f>
        <v>0</v>
      </c>
    </row>
    <row r="22" s="131" customFormat="1" ht="24" customHeight="1" spans="1:13">
      <c r="A22" s="146">
        <v>17</v>
      </c>
      <c r="B22" s="146"/>
      <c r="C22" s="146"/>
      <c r="D22" s="149" t="str">
        <f>数据对照表!D4</f>
        <v>项目可行性研究费用</v>
      </c>
      <c r="E22" s="147">
        <f>SUMIFS('附表7-扣除项目明细采集底稿'!W:W,'附表7-扣除项目明细采集底稿'!E:E,数据对照表!D4,'附表7-扣除项目明细采集底稿'!V:V,"直接归集成本费用")</f>
        <v>0</v>
      </c>
      <c r="F22" s="147">
        <f>SUMIFS('附表7-扣除项目明细采集底稿'!X:X,'附表7-扣除项目明细采集底稿'!E:E,数据对照表!D4,'附表7-扣除项目明细采集底稿'!V:V,"直接归集成本费用")</f>
        <v>0</v>
      </c>
      <c r="G22" s="147">
        <f>SUMIFS('附表7-扣除项目明细采集底稿'!Y:Y,'附表7-扣除项目明细采集底稿'!E:E,数据对照表!D4,'附表7-扣除项目明细采集底稿'!V:V,"直接归集成本费用")</f>
        <v>0</v>
      </c>
      <c r="H22" s="148">
        <f t="shared" si="3"/>
        <v>0</v>
      </c>
      <c r="I22" s="147">
        <f>SUMIFS('附表7-扣除项目明细采集底稿'!W:W,'附表7-扣除项目明细采集底稿'!E:E,数据对照表!D4,'附表7-扣除项目明细采集底稿'!V:V,"共同成本费用")</f>
        <v>0</v>
      </c>
      <c r="J22" s="147">
        <f>SUMIFS('附表7-扣除项目明细采集底稿'!X:X,'附表7-扣除项目明细采集底稿'!E:E,数据对照表!D4,'附表7-扣除项目明细采集底稿'!V:V,"共同成本费用")</f>
        <v>0</v>
      </c>
      <c r="K22" s="147">
        <f>SUMIFS('附表7-扣除项目明细采集底稿'!Y:Y,'附表7-扣除项目明细采集底稿'!E:E,数据对照表!D4,'附表7-扣除项目明细采集底稿'!V:V,"共同成本费用")</f>
        <v>0</v>
      </c>
      <c r="L22" s="148">
        <f t="shared" si="4"/>
        <v>0</v>
      </c>
      <c r="M22" s="148">
        <f t="shared" si="5"/>
        <v>0</v>
      </c>
    </row>
    <row r="23" s="131" customFormat="1" ht="24" customHeight="1" spans="1:13">
      <c r="A23" s="146">
        <v>18</v>
      </c>
      <c r="B23" s="146"/>
      <c r="C23" s="146"/>
      <c r="D23" s="149" t="str">
        <f>数据对照表!D5</f>
        <v>水文费用</v>
      </c>
      <c r="E23" s="147">
        <f>SUMIFS('附表7-扣除项目明细采集底稿'!W:W,'附表7-扣除项目明细采集底稿'!E:E,数据对照表!D5,'附表7-扣除项目明细采集底稿'!V:V,"直接归集成本费用")</f>
        <v>0</v>
      </c>
      <c r="F23" s="147">
        <f>SUMIFS('附表7-扣除项目明细采集底稿'!X:X,'附表7-扣除项目明细采集底稿'!E:E,数据对照表!D5,'附表7-扣除项目明细采集底稿'!V:V,"直接归集成本费用")</f>
        <v>0</v>
      </c>
      <c r="G23" s="147">
        <f>SUMIFS('附表7-扣除项目明细采集底稿'!Y:Y,'附表7-扣除项目明细采集底稿'!E:E,数据对照表!D5,'附表7-扣除项目明细采集底稿'!V:V,"直接归集成本费用")</f>
        <v>0</v>
      </c>
      <c r="H23" s="148">
        <f t="shared" si="3"/>
        <v>0</v>
      </c>
      <c r="I23" s="147">
        <f>SUMIFS('附表7-扣除项目明细采集底稿'!W:W,'附表7-扣除项目明细采集底稿'!E:E,数据对照表!D5,'附表7-扣除项目明细采集底稿'!V:V,"共同成本费用")</f>
        <v>0</v>
      </c>
      <c r="J23" s="147">
        <f>SUMIFS('附表7-扣除项目明细采集底稿'!X:X,'附表7-扣除项目明细采集底稿'!E:E,数据对照表!D5,'附表7-扣除项目明细采集底稿'!V:V,"共同成本费用")</f>
        <v>0</v>
      </c>
      <c r="K23" s="147">
        <f>SUMIFS('附表7-扣除项目明细采集底稿'!Y:Y,'附表7-扣除项目明细采集底稿'!E:E,数据对照表!D5,'附表7-扣除项目明细采集底稿'!V:V,"共同成本费用")</f>
        <v>0</v>
      </c>
      <c r="L23" s="148">
        <f t="shared" si="4"/>
        <v>0</v>
      </c>
      <c r="M23" s="148">
        <f t="shared" si="5"/>
        <v>0</v>
      </c>
    </row>
    <row r="24" s="131" customFormat="1" ht="24" customHeight="1" spans="1:13">
      <c r="A24" s="146">
        <v>19</v>
      </c>
      <c r="B24" s="146"/>
      <c r="C24" s="146"/>
      <c r="D24" s="149" t="str">
        <f>数据对照表!D6</f>
        <v>地质费用</v>
      </c>
      <c r="E24" s="147">
        <f>SUMIFS('附表7-扣除项目明细采集底稿'!W:W,'附表7-扣除项目明细采集底稿'!E:E,数据对照表!D6,'附表7-扣除项目明细采集底稿'!V:V,"直接归集成本费用")</f>
        <v>0</v>
      </c>
      <c r="F24" s="147">
        <f>SUMIFS('附表7-扣除项目明细采集底稿'!X:X,'附表7-扣除项目明细采集底稿'!E:E,数据对照表!D6,'附表7-扣除项目明细采集底稿'!V:V,"直接归集成本费用")</f>
        <v>0</v>
      </c>
      <c r="G24" s="147">
        <f>SUMIFS('附表7-扣除项目明细采集底稿'!Y:Y,'附表7-扣除项目明细采集底稿'!E:E,数据对照表!D6,'附表7-扣除项目明细采集底稿'!V:V,"直接归集成本费用")</f>
        <v>0</v>
      </c>
      <c r="H24" s="148">
        <f t="shared" si="3"/>
        <v>0</v>
      </c>
      <c r="I24" s="147">
        <f>SUMIFS('附表7-扣除项目明细采集底稿'!W:W,'附表7-扣除项目明细采集底稿'!E:E,数据对照表!D6,'附表7-扣除项目明细采集底稿'!V:V,"共同成本费用")</f>
        <v>0</v>
      </c>
      <c r="J24" s="147">
        <f>SUMIFS('附表7-扣除项目明细采集底稿'!X:X,'附表7-扣除项目明细采集底稿'!E:E,数据对照表!D6,'附表7-扣除项目明细采集底稿'!V:V,"共同成本费用")</f>
        <v>0</v>
      </c>
      <c r="K24" s="147">
        <f>SUMIFS('附表7-扣除项目明细采集底稿'!Y:Y,'附表7-扣除项目明细采集底稿'!E:E,数据对照表!D6,'附表7-扣除项目明细采集底稿'!V:V,"共同成本费用")</f>
        <v>0</v>
      </c>
      <c r="L24" s="148">
        <f t="shared" si="4"/>
        <v>0</v>
      </c>
      <c r="M24" s="148">
        <f t="shared" si="5"/>
        <v>0</v>
      </c>
    </row>
    <row r="25" s="131" customFormat="1" ht="24" customHeight="1" spans="1:13">
      <c r="A25" s="146">
        <v>20</v>
      </c>
      <c r="B25" s="146"/>
      <c r="C25" s="146"/>
      <c r="D25" s="149" t="str">
        <f>数据对照表!D7</f>
        <v>勘探费用</v>
      </c>
      <c r="E25" s="147">
        <f>SUMIFS('附表7-扣除项目明细采集底稿'!W:W,'附表7-扣除项目明细采集底稿'!E:E,数据对照表!D7,'附表7-扣除项目明细采集底稿'!V:V,"直接归集成本费用")</f>
        <v>0</v>
      </c>
      <c r="F25" s="147">
        <f>SUMIFS('附表7-扣除项目明细采集底稿'!X:X,'附表7-扣除项目明细采集底稿'!E:E,数据对照表!D7,'附表7-扣除项目明细采集底稿'!V:V,"直接归集成本费用")</f>
        <v>0</v>
      </c>
      <c r="G25" s="147">
        <f>SUMIFS('附表7-扣除项目明细采集底稿'!Y:Y,'附表7-扣除项目明细采集底稿'!E:E,数据对照表!D7,'附表7-扣除项目明细采集底稿'!V:V,"直接归集成本费用")</f>
        <v>0</v>
      </c>
      <c r="H25" s="148">
        <f t="shared" si="3"/>
        <v>0</v>
      </c>
      <c r="I25" s="147">
        <f>SUMIFS('附表7-扣除项目明细采集底稿'!W:W,'附表7-扣除项目明细采集底稿'!E:E,数据对照表!D7,'附表7-扣除项目明细采集底稿'!V:V,"共同成本费用")</f>
        <v>0</v>
      </c>
      <c r="J25" s="147">
        <f>SUMIFS('附表7-扣除项目明细采集底稿'!X:X,'附表7-扣除项目明细采集底稿'!E:E,数据对照表!D7,'附表7-扣除项目明细采集底稿'!V:V,"共同成本费用")</f>
        <v>0</v>
      </c>
      <c r="K25" s="147">
        <f>SUMIFS('附表7-扣除项目明细采集底稿'!Y:Y,'附表7-扣除项目明细采集底稿'!E:E,数据对照表!D7,'附表7-扣除项目明细采集底稿'!V:V,"共同成本费用")</f>
        <v>0</v>
      </c>
      <c r="L25" s="148">
        <f t="shared" si="4"/>
        <v>0</v>
      </c>
      <c r="M25" s="148">
        <f t="shared" si="5"/>
        <v>0</v>
      </c>
    </row>
    <row r="26" s="131" customFormat="1" ht="24" customHeight="1" spans="1:13">
      <c r="A26" s="146">
        <v>21</v>
      </c>
      <c r="B26" s="146"/>
      <c r="C26" s="146"/>
      <c r="D26" s="149" t="str">
        <f>数据对照表!D8</f>
        <v>测绘费用</v>
      </c>
      <c r="E26" s="147">
        <f>SUMIFS('附表7-扣除项目明细采集底稿'!W:W,'附表7-扣除项目明细采集底稿'!E:E,数据对照表!D8,'附表7-扣除项目明细采集底稿'!V:V,"直接归集成本费用")</f>
        <v>0</v>
      </c>
      <c r="F26" s="147">
        <f>SUMIFS('附表7-扣除项目明细采集底稿'!X:X,'附表7-扣除项目明细采集底稿'!E:E,数据对照表!D8,'附表7-扣除项目明细采集底稿'!V:V,"直接归集成本费用")</f>
        <v>0</v>
      </c>
      <c r="G26" s="147">
        <f>SUMIFS('附表7-扣除项目明细采集底稿'!Y:Y,'附表7-扣除项目明细采集底稿'!E:E,数据对照表!D8,'附表7-扣除项目明细采集底稿'!V:V,"直接归集成本费用")</f>
        <v>0</v>
      </c>
      <c r="H26" s="148">
        <f t="shared" si="3"/>
        <v>0</v>
      </c>
      <c r="I26" s="147">
        <f>SUMIFS('附表7-扣除项目明细采集底稿'!W:W,'附表7-扣除项目明细采集底稿'!E:E,数据对照表!D8,'附表7-扣除项目明细采集底稿'!V:V,"共同成本费用")</f>
        <v>0</v>
      </c>
      <c r="J26" s="147">
        <f>SUMIFS('附表7-扣除项目明细采集底稿'!X:X,'附表7-扣除项目明细采集底稿'!E:E,数据对照表!D8,'附表7-扣除项目明细采集底稿'!V:V,"共同成本费用")</f>
        <v>0</v>
      </c>
      <c r="K26" s="147">
        <f>SUMIFS('附表7-扣除项目明细采集底稿'!Y:Y,'附表7-扣除项目明细采集底稿'!E:E,数据对照表!D8,'附表7-扣除项目明细采集底稿'!V:V,"共同成本费用")</f>
        <v>0</v>
      </c>
      <c r="L26" s="148">
        <f t="shared" si="4"/>
        <v>0</v>
      </c>
      <c r="M26" s="148">
        <f t="shared" si="5"/>
        <v>0</v>
      </c>
    </row>
    <row r="27" s="131" customFormat="1" ht="24" customHeight="1" spans="1:13">
      <c r="A27" s="146">
        <v>22</v>
      </c>
      <c r="B27" s="146"/>
      <c r="C27" s="146"/>
      <c r="D27" s="149" t="str">
        <f>数据对照表!D9</f>
        <v>七通一平支出</v>
      </c>
      <c r="E27" s="147">
        <f>SUMIFS('附表7-扣除项目明细采集底稿'!W:W,'附表7-扣除项目明细采集底稿'!E:E,数据对照表!D9,'附表7-扣除项目明细采集底稿'!V:V,"直接归集成本费用")</f>
        <v>0</v>
      </c>
      <c r="F27" s="147">
        <f>SUMIFS('附表7-扣除项目明细采集底稿'!X:X,'附表7-扣除项目明细采集底稿'!E:E,数据对照表!D9,'附表7-扣除项目明细采集底稿'!V:V,"直接归集成本费用")</f>
        <v>0</v>
      </c>
      <c r="G27" s="147">
        <f>SUMIFS('附表7-扣除项目明细采集底稿'!Y:Y,'附表7-扣除项目明细采集底稿'!E:E,数据对照表!D9,'附表7-扣除项目明细采集底稿'!V:V,"直接归集成本费用")</f>
        <v>0</v>
      </c>
      <c r="H27" s="148">
        <f t="shared" si="3"/>
        <v>0</v>
      </c>
      <c r="I27" s="147">
        <f>SUMIFS('附表7-扣除项目明细采集底稿'!W:W,'附表7-扣除项目明细采集底稿'!E:E,数据对照表!D9,'附表7-扣除项目明细采集底稿'!V:V,"共同成本费用")</f>
        <v>0</v>
      </c>
      <c r="J27" s="147">
        <f>SUMIFS('附表7-扣除项目明细采集底稿'!X:X,'附表7-扣除项目明细采集底稿'!E:E,数据对照表!D9,'附表7-扣除项目明细采集底稿'!V:V,"共同成本费用")</f>
        <v>0</v>
      </c>
      <c r="K27" s="147">
        <f>SUMIFS('附表7-扣除项目明细采集底稿'!Y:Y,'附表7-扣除项目明细采集底稿'!E:E,数据对照表!D9,'附表7-扣除项目明细采集底稿'!V:V,"共同成本费用")</f>
        <v>0</v>
      </c>
      <c r="L27" s="148">
        <f t="shared" si="4"/>
        <v>0</v>
      </c>
      <c r="M27" s="148">
        <f t="shared" si="5"/>
        <v>0</v>
      </c>
    </row>
    <row r="28" s="131" customFormat="1" ht="24" customHeight="1" spans="1:13">
      <c r="A28" s="146">
        <v>23</v>
      </c>
      <c r="B28" s="146"/>
      <c r="C28" s="146"/>
      <c r="D28" s="149" t="str">
        <f>数据对照表!D10</f>
        <v>其他前期工程费</v>
      </c>
      <c r="E28" s="147">
        <f>SUMIFS('附表7-扣除项目明细采集底稿'!W:W,'附表7-扣除项目明细采集底稿'!E:E,数据对照表!D10,'附表7-扣除项目明细采集底稿'!V:V,"直接归集成本费用")</f>
        <v>0</v>
      </c>
      <c r="F28" s="147">
        <f>SUMIFS('附表7-扣除项目明细采集底稿'!X:X,'附表7-扣除项目明细采集底稿'!E:E,数据对照表!D10,'附表7-扣除项目明细采集底稿'!V:V,"直接归集成本费用")</f>
        <v>0</v>
      </c>
      <c r="G28" s="147">
        <f>SUMIFS('附表7-扣除项目明细采集底稿'!Y:Y,'附表7-扣除项目明细采集底稿'!E:E,数据对照表!D10,'附表7-扣除项目明细采集底稿'!V:V,"直接归集成本费用")</f>
        <v>0</v>
      </c>
      <c r="H28" s="148">
        <f t="shared" si="3"/>
        <v>0</v>
      </c>
      <c r="I28" s="147">
        <f>SUMIFS('附表7-扣除项目明细采集底稿'!W:W,'附表7-扣除项目明细采集底稿'!E:E,数据对照表!D10,'附表7-扣除项目明细采集底稿'!V:V,"共同成本费用")</f>
        <v>0</v>
      </c>
      <c r="J28" s="147">
        <f>SUMIFS('附表7-扣除项目明细采集底稿'!X:X,'附表7-扣除项目明细采集底稿'!E:E,数据对照表!D10,'附表7-扣除项目明细采集底稿'!V:V,"共同成本费用")</f>
        <v>0</v>
      </c>
      <c r="K28" s="147">
        <f>SUMIFS('附表7-扣除项目明细采集底稿'!Y:Y,'附表7-扣除项目明细采集底稿'!E:E,数据对照表!D10,'附表7-扣除项目明细采集底稿'!V:V,"共同成本费用")</f>
        <v>0</v>
      </c>
      <c r="L28" s="148">
        <f t="shared" si="4"/>
        <v>0</v>
      </c>
      <c r="M28" s="148">
        <f t="shared" si="5"/>
        <v>0</v>
      </c>
    </row>
    <row r="29" s="131" customFormat="1" ht="24" customHeight="1" spans="1:13">
      <c r="A29" s="146">
        <v>24</v>
      </c>
      <c r="B29" s="146"/>
      <c r="C29" s="63" t="str">
        <f>数据对照表!E1</f>
        <v>建筑安装工程费</v>
      </c>
      <c r="D29" s="63"/>
      <c r="E29" s="147">
        <f>SUMIFS('附表7-扣除项目明细采集底稿'!W:W,'附表7-扣除项目明细采集底稿'!D:D,数据对照表!E1,'附表7-扣除项目明细采集底稿'!V:V,"直接归集成本费用")</f>
        <v>0</v>
      </c>
      <c r="F29" s="147">
        <f>SUMIFS('附表7-扣除项目明细采集底稿'!X:X,'附表7-扣除项目明细采集底稿'!D:D,数据对照表!E1,'附表7-扣除项目明细采集底稿'!V:V,"直接归集成本费用")</f>
        <v>0</v>
      </c>
      <c r="G29" s="147">
        <f>SUMIFS('附表7-扣除项目明细采集底稿'!Y:Y,'附表7-扣除项目明细采集底稿'!D:D,数据对照表!E1,'附表7-扣除项目明细采集底稿'!V:V,"直接归集成本费用")</f>
        <v>0</v>
      </c>
      <c r="H29" s="148">
        <f t="shared" si="3"/>
        <v>0</v>
      </c>
      <c r="I29" s="147">
        <f>SUMIFS('附表7-扣除项目明细采集底稿'!W:W,'附表7-扣除项目明细采集底稿'!D:D,数据对照表!E1,'附表7-扣除项目明细采集底稿'!V:V,"共同成本费用")</f>
        <v>0</v>
      </c>
      <c r="J29" s="147">
        <f>SUMIFS('附表7-扣除项目明细采集底稿'!X:X,'附表7-扣除项目明细采集底稿'!D:D,数据对照表!E1,'附表7-扣除项目明细采集底稿'!V:V,"共同成本费用")</f>
        <v>0</v>
      </c>
      <c r="K29" s="147">
        <f>SUMIFS('附表7-扣除项目明细采集底稿'!Y:Y,'附表7-扣除项目明细采集底稿'!D:D,数据对照表!E1,'附表7-扣除项目明细采集底稿'!V:V,"共同成本费用")</f>
        <v>0</v>
      </c>
      <c r="L29" s="148">
        <f t="shared" si="4"/>
        <v>0</v>
      </c>
      <c r="M29" s="148">
        <f t="shared" si="5"/>
        <v>0</v>
      </c>
    </row>
    <row r="30" s="131" customFormat="1" ht="24" customHeight="1" spans="1:13">
      <c r="A30" s="146">
        <v>25</v>
      </c>
      <c r="B30" s="146"/>
      <c r="C30" s="146" t="s">
        <v>278</v>
      </c>
      <c r="D30" s="149" t="str">
        <f>数据对照表!E2</f>
        <v>桩基础工程费用</v>
      </c>
      <c r="E30" s="147">
        <f>SUMIFS('附表7-扣除项目明细采集底稿'!W:W,'附表7-扣除项目明细采集底稿'!E:E,数据对照表!E2,'附表7-扣除项目明细采集底稿'!V:V,"直接归集成本费用")</f>
        <v>0</v>
      </c>
      <c r="F30" s="147">
        <f>SUMIFS('附表7-扣除项目明细采集底稿'!X:X,'附表7-扣除项目明细采集底稿'!E:E,数据对照表!E2,'附表7-扣除项目明细采集底稿'!V:V,"直接归集成本费用")</f>
        <v>0</v>
      </c>
      <c r="G30" s="147">
        <f>SUMIFS('附表7-扣除项目明细采集底稿'!Y:Y,'附表7-扣除项目明细采集底稿'!E:E,数据对照表!E2,'附表7-扣除项目明细采集底稿'!V:V,"直接归集成本费用")</f>
        <v>0</v>
      </c>
      <c r="H30" s="148">
        <f t="shared" si="3"/>
        <v>0</v>
      </c>
      <c r="I30" s="147">
        <f>SUMIFS('附表7-扣除项目明细采集底稿'!W:W,'附表7-扣除项目明细采集底稿'!E:E,数据对照表!E2,'附表7-扣除项目明细采集底稿'!V:V,"共同成本费用")</f>
        <v>0</v>
      </c>
      <c r="J30" s="147">
        <f>SUMIFS('附表7-扣除项目明细采集底稿'!X:X,'附表7-扣除项目明细采集底稿'!E:E,数据对照表!E2,'附表7-扣除项目明细采集底稿'!V:V,"共同成本费用")</f>
        <v>0</v>
      </c>
      <c r="K30" s="147">
        <f>SUMIFS('附表7-扣除项目明细采集底稿'!Y:Y,'附表7-扣除项目明细采集底稿'!E:E,数据对照表!E2,'附表7-扣除项目明细采集底稿'!V:V,"共同成本费用")</f>
        <v>0</v>
      </c>
      <c r="L30" s="148">
        <f t="shared" si="4"/>
        <v>0</v>
      </c>
      <c r="M30" s="148">
        <f t="shared" si="5"/>
        <v>0</v>
      </c>
    </row>
    <row r="31" s="131" customFormat="1" ht="24" customHeight="1" spans="1:13">
      <c r="A31" s="146">
        <v>26</v>
      </c>
      <c r="B31" s="146"/>
      <c r="C31" s="146"/>
      <c r="D31" s="149" t="str">
        <f>数据对照表!E3</f>
        <v>地下室工程费用</v>
      </c>
      <c r="E31" s="147">
        <f>SUMIFS('附表7-扣除项目明细采集底稿'!W:W,'附表7-扣除项目明细采集底稿'!E:E,数据对照表!E3,'附表7-扣除项目明细采集底稿'!V:V,"直接归集成本费用")</f>
        <v>0</v>
      </c>
      <c r="F31" s="147">
        <f>SUMIFS('附表7-扣除项目明细采集底稿'!X:X,'附表7-扣除项目明细采集底稿'!E:E,数据对照表!E3,'附表7-扣除项目明细采集底稿'!V:V,"直接归集成本费用")</f>
        <v>0</v>
      </c>
      <c r="G31" s="147">
        <f>SUMIFS('附表7-扣除项目明细采集底稿'!Y:Y,'附表7-扣除项目明细采集底稿'!E:E,数据对照表!E3,'附表7-扣除项目明细采集底稿'!V:V,"直接归集成本费用")</f>
        <v>0</v>
      </c>
      <c r="H31" s="148">
        <f t="shared" si="3"/>
        <v>0</v>
      </c>
      <c r="I31" s="147">
        <f>SUMIFS('附表7-扣除项目明细采集底稿'!W:W,'附表7-扣除项目明细采集底稿'!E:E,数据对照表!E3,'附表7-扣除项目明细采集底稿'!V:V,"共同成本费用")</f>
        <v>0</v>
      </c>
      <c r="J31" s="147">
        <f>SUMIFS('附表7-扣除项目明细采集底稿'!X:X,'附表7-扣除项目明细采集底稿'!E:E,数据对照表!E3,'附表7-扣除项目明细采集底稿'!V:V,"共同成本费用")</f>
        <v>0</v>
      </c>
      <c r="K31" s="147">
        <f>SUMIFS('附表7-扣除项目明细采集底稿'!Y:Y,'附表7-扣除项目明细采集底稿'!E:E,数据对照表!E3,'附表7-扣除项目明细采集底稿'!V:V,"共同成本费用")</f>
        <v>0</v>
      </c>
      <c r="L31" s="148">
        <f t="shared" si="4"/>
        <v>0</v>
      </c>
      <c r="M31" s="148">
        <f t="shared" si="5"/>
        <v>0</v>
      </c>
    </row>
    <row r="32" s="131" customFormat="1" ht="24" customHeight="1" spans="1:13">
      <c r="A32" s="146">
        <v>27</v>
      </c>
      <c r="B32" s="146"/>
      <c r="C32" s="146"/>
      <c r="D32" s="149" t="str">
        <f>数据对照表!E4</f>
        <v>地上建筑工程费用</v>
      </c>
      <c r="E32" s="147">
        <f>SUMIFS('附表7-扣除项目明细采集底稿'!W:W,'附表7-扣除项目明细采集底稿'!E:E,数据对照表!E4,'附表7-扣除项目明细采集底稿'!V:V,"直接归集成本费用")</f>
        <v>0</v>
      </c>
      <c r="F32" s="147">
        <f>SUMIFS('附表7-扣除项目明细采集底稿'!X:X,'附表7-扣除项目明细采集底稿'!E:E,数据对照表!E4,'附表7-扣除项目明细采集底稿'!V:V,"直接归集成本费用")</f>
        <v>0</v>
      </c>
      <c r="G32" s="147">
        <f>SUMIFS('附表7-扣除项目明细采集底稿'!Y:Y,'附表7-扣除项目明细采集底稿'!E:E,数据对照表!E4,'附表7-扣除项目明细采集底稿'!V:V,"直接归集成本费用")</f>
        <v>0</v>
      </c>
      <c r="H32" s="148">
        <f t="shared" si="3"/>
        <v>0</v>
      </c>
      <c r="I32" s="147">
        <f>SUMIFS('附表7-扣除项目明细采集底稿'!W:W,'附表7-扣除项目明细采集底稿'!E:E,数据对照表!E4,'附表7-扣除项目明细采集底稿'!V:V,"共同成本费用")</f>
        <v>0</v>
      </c>
      <c r="J32" s="147">
        <f>SUMIFS('附表7-扣除项目明细采集底稿'!X:X,'附表7-扣除项目明细采集底稿'!E:E,数据对照表!E4,'附表7-扣除项目明细采集底稿'!V:V,"共同成本费用")</f>
        <v>0</v>
      </c>
      <c r="K32" s="147">
        <f>SUMIFS('附表7-扣除项目明细采集底稿'!Y:Y,'附表7-扣除项目明细采集底稿'!E:E,数据对照表!E4,'附表7-扣除项目明细采集底稿'!V:V,"共同成本费用")</f>
        <v>0</v>
      </c>
      <c r="L32" s="148">
        <f t="shared" si="4"/>
        <v>0</v>
      </c>
      <c r="M32" s="148">
        <f t="shared" si="5"/>
        <v>0</v>
      </c>
    </row>
    <row r="33" s="131" customFormat="1" ht="24" customHeight="1" spans="1:13">
      <c r="A33" s="146">
        <v>28</v>
      </c>
      <c r="B33" s="146"/>
      <c r="C33" s="146"/>
      <c r="D33" s="149" t="str">
        <f>数据对照表!E5</f>
        <v>户内装修费用</v>
      </c>
      <c r="E33" s="147">
        <f>SUMIFS('附表7-扣除项目明细采集底稿'!W:W,'附表7-扣除项目明细采集底稿'!E:E,数据对照表!E5,'附表7-扣除项目明细采集底稿'!V:V,"直接归集成本费用")</f>
        <v>0</v>
      </c>
      <c r="F33" s="147">
        <f>SUMIFS('附表7-扣除项目明细采集底稿'!X:X,'附表7-扣除项目明细采集底稿'!E:E,数据对照表!E5,'附表7-扣除项目明细采集底稿'!V:V,"直接归集成本费用")</f>
        <v>0</v>
      </c>
      <c r="G33" s="147">
        <f>SUMIFS('附表7-扣除项目明细采集底稿'!Y:Y,'附表7-扣除项目明细采集底稿'!E:E,数据对照表!E5,'附表7-扣除项目明细采集底稿'!V:V,"直接归集成本费用")</f>
        <v>0</v>
      </c>
      <c r="H33" s="148">
        <f t="shared" si="3"/>
        <v>0</v>
      </c>
      <c r="I33" s="147">
        <f>SUMIFS('附表7-扣除项目明细采集底稿'!W:W,'附表7-扣除项目明细采集底稿'!E:E,数据对照表!E5,'附表7-扣除项目明细采集底稿'!V:V,"共同成本费用")</f>
        <v>0</v>
      </c>
      <c r="J33" s="147">
        <f>SUMIFS('附表7-扣除项目明细采集底稿'!X:X,'附表7-扣除项目明细采集底稿'!E:E,数据对照表!E5,'附表7-扣除项目明细采集底稿'!V:V,"共同成本费用")</f>
        <v>0</v>
      </c>
      <c r="K33" s="147">
        <f>SUMIFS('附表7-扣除项目明细采集底稿'!Y:Y,'附表7-扣除项目明细采集底稿'!E:E,数据对照表!E5,'附表7-扣除项目明细采集底稿'!V:V,"共同成本费用")</f>
        <v>0</v>
      </c>
      <c r="L33" s="148">
        <f t="shared" si="4"/>
        <v>0</v>
      </c>
      <c r="M33" s="148">
        <f t="shared" si="5"/>
        <v>0</v>
      </c>
    </row>
    <row r="34" s="131" customFormat="1" ht="24" customHeight="1" spans="1:13">
      <c r="A34" s="146">
        <v>29</v>
      </c>
      <c r="B34" s="146"/>
      <c r="C34" s="146"/>
      <c r="D34" s="149" t="str">
        <f>数据对照表!E6</f>
        <v>高档外立面工程费用</v>
      </c>
      <c r="E34" s="147">
        <f>SUMIFS('附表7-扣除项目明细采集底稿'!W:W,'附表7-扣除项目明细采集底稿'!E:E,数据对照表!E6,'附表7-扣除项目明细采集底稿'!V:V,"直接归集成本费用")</f>
        <v>0</v>
      </c>
      <c r="F34" s="147">
        <f>SUMIFS('附表7-扣除项目明细采集底稿'!X:X,'附表7-扣除项目明细采集底稿'!E:E,数据对照表!E6,'附表7-扣除项目明细采集底稿'!V:V,"直接归集成本费用")</f>
        <v>0</v>
      </c>
      <c r="G34" s="147">
        <f>SUMIFS('附表7-扣除项目明细采集底稿'!Y:Y,'附表7-扣除项目明细采集底稿'!E:E,数据对照表!E6,'附表7-扣除项目明细采集底稿'!V:V,"直接归集成本费用")</f>
        <v>0</v>
      </c>
      <c r="H34" s="148">
        <f t="shared" si="3"/>
        <v>0</v>
      </c>
      <c r="I34" s="147">
        <f>SUMIFS('附表7-扣除项目明细采集底稿'!W:W,'附表7-扣除项目明细采集底稿'!E:E,数据对照表!E6,'附表7-扣除项目明细采集底稿'!V:V,"共同成本费用")</f>
        <v>0</v>
      </c>
      <c r="J34" s="147">
        <f>SUMIFS('附表7-扣除项目明细采集底稿'!X:X,'附表7-扣除项目明细采集底稿'!E:E,数据对照表!E6,'附表7-扣除项目明细采集底稿'!V:V,"共同成本费用")</f>
        <v>0</v>
      </c>
      <c r="K34" s="147">
        <f>SUMIFS('附表7-扣除项目明细采集底稿'!Y:Y,'附表7-扣除项目明细采集底稿'!E:E,数据对照表!E6,'附表7-扣除项目明细采集底稿'!V:V,"共同成本费用")</f>
        <v>0</v>
      </c>
      <c r="L34" s="148">
        <f t="shared" si="4"/>
        <v>0</v>
      </c>
      <c r="M34" s="148">
        <f t="shared" si="5"/>
        <v>0</v>
      </c>
    </row>
    <row r="35" s="131" customFormat="1" ht="24" customHeight="1" spans="1:13">
      <c r="A35" s="146">
        <v>30</v>
      </c>
      <c r="B35" s="146"/>
      <c r="C35" s="146"/>
      <c r="D35" s="149" t="str">
        <f>数据对照表!E7</f>
        <v>其他建筑安装工程费</v>
      </c>
      <c r="E35" s="147">
        <f>SUMIFS('附表7-扣除项目明细采集底稿'!W:W,'附表7-扣除项目明细采集底稿'!E:E,数据对照表!E7,'附表7-扣除项目明细采集底稿'!V:V,"直接归集成本费用")</f>
        <v>0</v>
      </c>
      <c r="F35" s="147">
        <f>SUMIFS('附表7-扣除项目明细采集底稿'!X:X,'附表7-扣除项目明细采集底稿'!E:E,数据对照表!E7,'附表7-扣除项目明细采集底稿'!V:V,"直接归集成本费用")</f>
        <v>0</v>
      </c>
      <c r="G35" s="147">
        <f>SUMIFS('附表7-扣除项目明细采集底稿'!Y:Y,'附表7-扣除项目明细采集底稿'!E:E,数据对照表!E7,'附表7-扣除项目明细采集底稿'!V:V,"直接归集成本费用")</f>
        <v>0</v>
      </c>
      <c r="H35" s="148">
        <f t="shared" si="3"/>
        <v>0</v>
      </c>
      <c r="I35" s="147">
        <f>SUMIFS('附表7-扣除项目明细采集底稿'!W:W,'附表7-扣除项目明细采集底稿'!E:E,数据对照表!E7,'附表7-扣除项目明细采集底稿'!V:V,"共同成本费用")</f>
        <v>0</v>
      </c>
      <c r="J35" s="147">
        <f>SUMIFS('附表7-扣除项目明细采集底稿'!X:X,'附表7-扣除项目明细采集底稿'!E:E,数据对照表!E7,'附表7-扣除项目明细采集底稿'!V:V,"共同成本费用")</f>
        <v>0</v>
      </c>
      <c r="K35" s="147">
        <f>SUMIFS('附表7-扣除项目明细采集底稿'!Y:Y,'附表7-扣除项目明细采集底稿'!E:E,数据对照表!E7,'附表7-扣除项目明细采集底稿'!V:V,"共同成本费用")</f>
        <v>0</v>
      </c>
      <c r="L35" s="148">
        <f t="shared" si="4"/>
        <v>0</v>
      </c>
      <c r="M35" s="148">
        <f t="shared" si="5"/>
        <v>0</v>
      </c>
    </row>
    <row r="36" s="131" customFormat="1" ht="24" customHeight="1" spans="1:13">
      <c r="A36" s="146">
        <v>31</v>
      </c>
      <c r="B36" s="146"/>
      <c r="C36" s="149" t="str">
        <f>数据对照表!F1</f>
        <v>基础设施费</v>
      </c>
      <c r="D36" s="149"/>
      <c r="E36" s="147">
        <f>SUMIFS('附表7-扣除项目明细采集底稿'!W:W,'附表7-扣除项目明细采集底稿'!D:D,数据对照表!F1,'附表7-扣除项目明细采集底稿'!V:V,"直接归集成本费用")</f>
        <v>0</v>
      </c>
      <c r="F36" s="147">
        <f>SUMIFS('附表7-扣除项目明细采集底稿'!X:X,'附表7-扣除项目明细采集底稿'!D:D,数据对照表!F1,'附表7-扣除项目明细采集底稿'!V:V,"直接归集成本费用")</f>
        <v>0</v>
      </c>
      <c r="G36" s="147">
        <f>SUMIFS('附表7-扣除项目明细采集底稿'!Y:Y,'附表7-扣除项目明细采集底稿'!D:D,数据对照表!F1,'附表7-扣除项目明细采集底稿'!V:V,"直接归集成本费用")</f>
        <v>0</v>
      </c>
      <c r="H36" s="148">
        <f t="shared" si="3"/>
        <v>0</v>
      </c>
      <c r="I36" s="147">
        <f>SUMIFS('附表7-扣除项目明细采集底稿'!W:W,'附表7-扣除项目明细采集底稿'!D:D,数据对照表!F1,'附表7-扣除项目明细采集底稿'!V:V,"共同成本费用")</f>
        <v>0</v>
      </c>
      <c r="J36" s="147">
        <f>SUMIFS('附表7-扣除项目明细采集底稿'!X:X,'附表7-扣除项目明细采集底稿'!D:D,数据对照表!F1,'附表7-扣除项目明细采集底稿'!V:V,"共同成本费用")</f>
        <v>0</v>
      </c>
      <c r="K36" s="147">
        <f>SUMIFS('附表7-扣除项目明细采集底稿'!Y:Y,'附表7-扣除项目明细采集底稿'!D:D,数据对照表!F1,'附表7-扣除项目明细采集底稿'!V:V,"共同成本费用")</f>
        <v>0</v>
      </c>
      <c r="L36" s="148">
        <f t="shared" si="4"/>
        <v>0</v>
      </c>
      <c r="M36" s="148">
        <f t="shared" si="5"/>
        <v>0</v>
      </c>
    </row>
    <row r="37" s="131" customFormat="1" ht="27.95" customHeight="1" spans="1:13">
      <c r="A37" s="146">
        <v>32</v>
      </c>
      <c r="B37" s="146"/>
      <c r="C37" s="146" t="s">
        <v>278</v>
      </c>
      <c r="D37" s="149" t="str">
        <f>数据对照表!F2</f>
        <v>开发小区内道路工程支出</v>
      </c>
      <c r="E37" s="147">
        <f>SUMIFS('附表7-扣除项目明细采集底稿'!W:W,'附表7-扣除项目明细采集底稿'!E:E,数据对照表!F2,'附表7-扣除项目明细采集底稿'!V:V,"直接归集成本费用")</f>
        <v>0</v>
      </c>
      <c r="F37" s="147">
        <f>SUMIFS('附表7-扣除项目明细采集底稿'!X:X,'附表7-扣除项目明细采集底稿'!E:E,数据对照表!F2,'附表7-扣除项目明细采集底稿'!V:V,"直接归集成本费用")</f>
        <v>0</v>
      </c>
      <c r="G37" s="147">
        <f>SUMIFS('附表7-扣除项目明细采集底稿'!Y:Y,'附表7-扣除项目明细采集底稿'!E:E,数据对照表!F2,'附表7-扣除项目明细采集底稿'!V:V,"直接归集成本费用")</f>
        <v>0</v>
      </c>
      <c r="H37" s="148">
        <f t="shared" si="3"/>
        <v>0</v>
      </c>
      <c r="I37" s="147">
        <f>SUMIFS('附表7-扣除项目明细采集底稿'!W:W,'附表7-扣除项目明细采集底稿'!E:E,数据对照表!F2,'附表7-扣除项目明细采集底稿'!V:V,"共同成本费用")</f>
        <v>0</v>
      </c>
      <c r="J37" s="147">
        <f>SUMIFS('附表7-扣除项目明细采集底稿'!X:X,'附表7-扣除项目明细采集底稿'!E:E,数据对照表!F2,'附表7-扣除项目明细采集底稿'!V:V,"共同成本费用")</f>
        <v>0</v>
      </c>
      <c r="K37" s="147">
        <f>SUMIFS('附表7-扣除项目明细采集底稿'!Y:Y,'附表7-扣除项目明细采集底稿'!E:E,数据对照表!F2,'附表7-扣除项目明细采集底稿'!V:V,"共同成本费用")</f>
        <v>0</v>
      </c>
      <c r="L37" s="148">
        <f t="shared" si="4"/>
        <v>0</v>
      </c>
      <c r="M37" s="148">
        <f t="shared" si="5"/>
        <v>0</v>
      </c>
    </row>
    <row r="38" s="131" customFormat="1" ht="24" customHeight="1" spans="1:13">
      <c r="A38" s="146">
        <v>33</v>
      </c>
      <c r="B38" s="146"/>
      <c r="C38" s="146"/>
      <c r="D38" s="149" t="str">
        <f>数据对照表!F3</f>
        <v>供水工程支出</v>
      </c>
      <c r="E38" s="147">
        <f>SUMIFS('附表7-扣除项目明细采集底稿'!W:W,'附表7-扣除项目明细采集底稿'!E:E,数据对照表!F3,'附表7-扣除项目明细采集底稿'!V:V,"直接归集成本费用")</f>
        <v>0</v>
      </c>
      <c r="F38" s="147">
        <f>SUMIFS('附表7-扣除项目明细采集底稿'!X:X,'附表7-扣除项目明细采集底稿'!E:E,数据对照表!F3,'附表7-扣除项目明细采集底稿'!V:V,"直接归集成本费用")</f>
        <v>0</v>
      </c>
      <c r="G38" s="147">
        <f>SUMIFS('附表7-扣除项目明细采集底稿'!Y:Y,'附表7-扣除项目明细采集底稿'!E:E,数据对照表!F3,'附表7-扣除项目明细采集底稿'!V:V,"直接归集成本费用")</f>
        <v>0</v>
      </c>
      <c r="H38" s="148">
        <f t="shared" ref="H38:H49" si="6">SUM(E38:G38)</f>
        <v>0</v>
      </c>
      <c r="I38" s="147">
        <f>SUMIFS('附表7-扣除项目明细采集底稿'!W:W,'附表7-扣除项目明细采集底稿'!E:E,数据对照表!F3,'附表7-扣除项目明细采集底稿'!V:V,"共同成本费用")</f>
        <v>0</v>
      </c>
      <c r="J38" s="147">
        <f>SUMIFS('附表7-扣除项目明细采集底稿'!X:X,'附表7-扣除项目明细采集底稿'!E:E,数据对照表!F3,'附表7-扣除项目明细采集底稿'!V:V,"共同成本费用")</f>
        <v>0</v>
      </c>
      <c r="K38" s="147">
        <f>SUMIFS('附表7-扣除项目明细采集底稿'!Y:Y,'附表7-扣除项目明细采集底稿'!E:E,数据对照表!F3,'附表7-扣除项目明细采集底稿'!V:V,"共同成本费用")</f>
        <v>0</v>
      </c>
      <c r="L38" s="148">
        <f t="shared" ref="L38:L49" si="7">SUM(I38:K38)</f>
        <v>0</v>
      </c>
      <c r="M38" s="148">
        <f t="shared" ref="M38:M49" si="8">H38+L38</f>
        <v>0</v>
      </c>
    </row>
    <row r="39" s="131" customFormat="1" ht="24" customHeight="1" spans="1:13">
      <c r="A39" s="146">
        <v>34</v>
      </c>
      <c r="B39" s="146"/>
      <c r="C39" s="146"/>
      <c r="D39" s="149" t="str">
        <f>数据对照表!F4</f>
        <v>供电工程支出</v>
      </c>
      <c r="E39" s="147">
        <f>SUMIFS('附表7-扣除项目明细采集底稿'!W:W,'附表7-扣除项目明细采集底稿'!E:E,数据对照表!F4,'附表7-扣除项目明细采集底稿'!V:V,"直接归集成本费用")</f>
        <v>0</v>
      </c>
      <c r="F39" s="147">
        <f>SUMIFS('附表7-扣除项目明细采集底稿'!X:X,'附表7-扣除项目明细采集底稿'!E:E,数据对照表!F4,'附表7-扣除项目明细采集底稿'!V:V,"直接归集成本费用")</f>
        <v>0</v>
      </c>
      <c r="G39" s="147">
        <f>SUMIFS('附表7-扣除项目明细采集底稿'!Y:Y,'附表7-扣除项目明细采集底稿'!E:E,数据对照表!F4,'附表7-扣除项目明细采集底稿'!V:V,"直接归集成本费用")</f>
        <v>0</v>
      </c>
      <c r="H39" s="148">
        <f t="shared" si="6"/>
        <v>0</v>
      </c>
      <c r="I39" s="147">
        <f>SUMIFS('附表7-扣除项目明细采集底稿'!W:W,'附表7-扣除项目明细采集底稿'!E:E,数据对照表!F4,'附表7-扣除项目明细采集底稿'!V:V,"共同成本费用")</f>
        <v>0</v>
      </c>
      <c r="J39" s="147">
        <f>SUMIFS('附表7-扣除项目明细采集底稿'!X:X,'附表7-扣除项目明细采集底稿'!E:E,数据对照表!F4,'附表7-扣除项目明细采集底稿'!V:V,"共同成本费用")</f>
        <v>0</v>
      </c>
      <c r="K39" s="147">
        <f>SUMIFS('附表7-扣除项目明细采集底稿'!Y:Y,'附表7-扣除项目明细采集底稿'!E:E,数据对照表!F4,'附表7-扣除项目明细采集底稿'!V:V,"共同成本费用")</f>
        <v>0</v>
      </c>
      <c r="L39" s="148">
        <f t="shared" si="7"/>
        <v>0</v>
      </c>
      <c r="M39" s="148">
        <f t="shared" si="8"/>
        <v>0</v>
      </c>
    </row>
    <row r="40" s="131" customFormat="1" ht="24" customHeight="1" spans="1:13">
      <c r="A40" s="146">
        <v>35</v>
      </c>
      <c r="B40" s="146"/>
      <c r="C40" s="146"/>
      <c r="D40" s="149" t="str">
        <f>数据对照表!F5</f>
        <v>供气工程支出</v>
      </c>
      <c r="E40" s="147">
        <f>SUMIFS('附表7-扣除项目明细采集底稿'!W:W,'附表7-扣除项目明细采集底稿'!E:E,数据对照表!F5,'附表7-扣除项目明细采集底稿'!V:V,"直接归集成本费用")</f>
        <v>0</v>
      </c>
      <c r="F40" s="147">
        <f>SUMIFS('附表7-扣除项目明细采集底稿'!X:X,'附表7-扣除项目明细采集底稿'!E:E,数据对照表!F5,'附表7-扣除项目明细采集底稿'!V:V,"直接归集成本费用")</f>
        <v>0</v>
      </c>
      <c r="G40" s="147">
        <f>SUMIFS('附表7-扣除项目明细采集底稿'!Y:Y,'附表7-扣除项目明细采集底稿'!E:E,数据对照表!F5,'附表7-扣除项目明细采集底稿'!V:V,"直接归集成本费用")</f>
        <v>0</v>
      </c>
      <c r="H40" s="148">
        <f t="shared" si="6"/>
        <v>0</v>
      </c>
      <c r="I40" s="147">
        <f>SUMIFS('附表7-扣除项目明细采集底稿'!W:W,'附表7-扣除项目明细采集底稿'!E:E,数据对照表!F5,'附表7-扣除项目明细采集底稿'!V:V,"共同成本费用")</f>
        <v>0</v>
      </c>
      <c r="J40" s="147">
        <f>SUMIFS('附表7-扣除项目明细采集底稿'!X:X,'附表7-扣除项目明细采集底稿'!E:E,数据对照表!F5,'附表7-扣除项目明细采集底稿'!V:V,"共同成本费用")</f>
        <v>0</v>
      </c>
      <c r="K40" s="147">
        <f>SUMIFS('附表7-扣除项目明细采集底稿'!Y:Y,'附表7-扣除项目明细采集底稿'!E:E,数据对照表!F5,'附表7-扣除项目明细采集底稿'!V:V,"共同成本费用")</f>
        <v>0</v>
      </c>
      <c r="L40" s="148">
        <f t="shared" si="7"/>
        <v>0</v>
      </c>
      <c r="M40" s="148">
        <f t="shared" si="8"/>
        <v>0</v>
      </c>
    </row>
    <row r="41" s="131" customFormat="1" ht="24" customHeight="1" spans="1:13">
      <c r="A41" s="146">
        <v>36</v>
      </c>
      <c r="B41" s="146"/>
      <c r="C41" s="146"/>
      <c r="D41" s="149" t="str">
        <f>数据对照表!F6</f>
        <v>排污工程支出</v>
      </c>
      <c r="E41" s="147">
        <f>SUMIFS('附表7-扣除项目明细采集底稿'!W:W,'附表7-扣除项目明细采集底稿'!E:E,数据对照表!F6,'附表7-扣除项目明细采集底稿'!V:V,"直接归集成本费用")</f>
        <v>0</v>
      </c>
      <c r="F41" s="147">
        <f>SUMIFS('附表7-扣除项目明细采集底稿'!X:X,'附表7-扣除项目明细采集底稿'!E:E,数据对照表!F6,'附表7-扣除项目明细采集底稿'!V:V,"直接归集成本费用")</f>
        <v>0</v>
      </c>
      <c r="G41" s="147">
        <f>SUMIFS('附表7-扣除项目明细采集底稿'!Y:Y,'附表7-扣除项目明细采集底稿'!E:E,数据对照表!F6,'附表7-扣除项目明细采集底稿'!V:V,"直接归集成本费用")</f>
        <v>0</v>
      </c>
      <c r="H41" s="148">
        <f t="shared" si="6"/>
        <v>0</v>
      </c>
      <c r="I41" s="147">
        <f>SUMIFS('附表7-扣除项目明细采集底稿'!W:W,'附表7-扣除项目明细采集底稿'!E:E,数据对照表!F6,'附表7-扣除项目明细采集底稿'!V:V,"共同成本费用")</f>
        <v>0</v>
      </c>
      <c r="J41" s="147">
        <f>SUMIFS('附表7-扣除项目明细采集底稿'!X:X,'附表7-扣除项目明细采集底稿'!E:E,数据对照表!F6,'附表7-扣除项目明细采集底稿'!V:V,"共同成本费用")</f>
        <v>0</v>
      </c>
      <c r="K41" s="147">
        <f>SUMIFS('附表7-扣除项目明细采集底稿'!Y:Y,'附表7-扣除项目明细采集底稿'!E:E,数据对照表!F6,'附表7-扣除项目明细采集底稿'!V:V,"共同成本费用")</f>
        <v>0</v>
      </c>
      <c r="L41" s="148">
        <f t="shared" si="7"/>
        <v>0</v>
      </c>
      <c r="M41" s="148">
        <f t="shared" si="8"/>
        <v>0</v>
      </c>
    </row>
    <row r="42" s="131" customFormat="1" ht="24" customHeight="1" spans="1:13">
      <c r="A42" s="146">
        <v>37</v>
      </c>
      <c r="B42" s="146"/>
      <c r="C42" s="146"/>
      <c r="D42" s="149" t="str">
        <f>数据对照表!F7</f>
        <v>排洪工程支出</v>
      </c>
      <c r="E42" s="147">
        <f>SUMIFS('附表7-扣除项目明细采集底稿'!W:W,'附表7-扣除项目明细采集底稿'!E:E,数据对照表!F7,'附表7-扣除项目明细采集底稿'!V:V,"直接归集成本费用")</f>
        <v>0</v>
      </c>
      <c r="F42" s="147">
        <f>SUMIFS('附表7-扣除项目明细采集底稿'!X:X,'附表7-扣除项目明细采集底稿'!E:E,数据对照表!F7,'附表7-扣除项目明细采集底稿'!V:V,"直接归集成本费用")</f>
        <v>0</v>
      </c>
      <c r="G42" s="147">
        <f>SUMIFS('附表7-扣除项目明细采集底稿'!Y:Y,'附表7-扣除项目明细采集底稿'!E:E,数据对照表!F7,'附表7-扣除项目明细采集底稿'!V:V,"直接归集成本费用")</f>
        <v>0</v>
      </c>
      <c r="H42" s="148">
        <f t="shared" si="6"/>
        <v>0</v>
      </c>
      <c r="I42" s="147">
        <f>SUMIFS('附表7-扣除项目明细采集底稿'!W:W,'附表7-扣除项目明细采集底稿'!E:E,数据对照表!F7,'附表7-扣除项目明细采集底稿'!V:V,"共同成本费用")</f>
        <v>0</v>
      </c>
      <c r="J42" s="147">
        <f>SUMIFS('附表7-扣除项目明细采集底稿'!X:X,'附表7-扣除项目明细采集底稿'!E:E,数据对照表!F7,'附表7-扣除项目明细采集底稿'!V:V,"共同成本费用")</f>
        <v>0</v>
      </c>
      <c r="K42" s="147">
        <f>SUMIFS('附表7-扣除项目明细采集底稿'!Y:Y,'附表7-扣除项目明细采集底稿'!E:E,数据对照表!F7,'附表7-扣除项目明细采集底稿'!V:V,"共同成本费用")</f>
        <v>0</v>
      </c>
      <c r="L42" s="148">
        <f t="shared" si="7"/>
        <v>0</v>
      </c>
      <c r="M42" s="148">
        <f t="shared" si="8"/>
        <v>0</v>
      </c>
    </row>
    <row r="43" s="131" customFormat="1" ht="24" customHeight="1" spans="1:13">
      <c r="A43" s="146">
        <v>38</v>
      </c>
      <c r="B43" s="146"/>
      <c r="C43" s="146"/>
      <c r="D43" s="149" t="str">
        <f>数据对照表!F8</f>
        <v>通讯工程支出</v>
      </c>
      <c r="E43" s="147">
        <f>SUMIFS('附表7-扣除项目明细采集底稿'!W:W,'附表7-扣除项目明细采集底稿'!E:E,数据对照表!F8,'附表7-扣除项目明细采集底稿'!V:V,"直接归集成本费用")</f>
        <v>0</v>
      </c>
      <c r="F43" s="147">
        <f>SUMIFS('附表7-扣除项目明细采集底稿'!X:X,'附表7-扣除项目明细采集底稿'!E:E,数据对照表!F8,'附表7-扣除项目明细采集底稿'!V:V,"直接归集成本费用")</f>
        <v>0</v>
      </c>
      <c r="G43" s="147">
        <f>SUMIFS('附表7-扣除项目明细采集底稿'!Y:Y,'附表7-扣除项目明细采集底稿'!E:E,数据对照表!F8,'附表7-扣除项目明细采集底稿'!V:V,"直接归集成本费用")</f>
        <v>0</v>
      </c>
      <c r="H43" s="148">
        <f t="shared" si="6"/>
        <v>0</v>
      </c>
      <c r="I43" s="147">
        <f>SUMIFS('附表7-扣除项目明细采集底稿'!W:W,'附表7-扣除项目明细采集底稿'!E:E,数据对照表!F8,'附表7-扣除项目明细采集底稿'!V:V,"共同成本费用")</f>
        <v>0</v>
      </c>
      <c r="J43" s="147">
        <f>SUMIFS('附表7-扣除项目明细采集底稿'!X:X,'附表7-扣除项目明细采集底稿'!E:E,数据对照表!F8,'附表7-扣除项目明细采集底稿'!V:V,"共同成本费用")</f>
        <v>0</v>
      </c>
      <c r="K43" s="147">
        <f>SUMIFS('附表7-扣除项目明细采集底稿'!Y:Y,'附表7-扣除项目明细采集底稿'!E:E,数据对照表!F8,'附表7-扣除项目明细采集底稿'!V:V,"共同成本费用")</f>
        <v>0</v>
      </c>
      <c r="L43" s="148">
        <f t="shared" si="7"/>
        <v>0</v>
      </c>
      <c r="M43" s="148">
        <f t="shared" si="8"/>
        <v>0</v>
      </c>
    </row>
    <row r="44" s="131" customFormat="1" ht="24" customHeight="1" spans="1:13">
      <c r="A44" s="146">
        <v>39</v>
      </c>
      <c r="B44" s="146"/>
      <c r="C44" s="146"/>
      <c r="D44" s="149" t="str">
        <f>数据对照表!F9</f>
        <v>照明工程支出</v>
      </c>
      <c r="E44" s="147">
        <f>SUMIFS('附表7-扣除项目明细采集底稿'!W:W,'附表7-扣除项目明细采集底稿'!E:E,数据对照表!F9,'附表7-扣除项目明细采集底稿'!V:V,"直接归集成本费用")</f>
        <v>0</v>
      </c>
      <c r="F44" s="147">
        <f>SUMIFS('附表7-扣除项目明细采集底稿'!X:X,'附表7-扣除项目明细采集底稿'!E:E,数据对照表!F9,'附表7-扣除项目明细采集底稿'!V:V,"直接归集成本费用")</f>
        <v>0</v>
      </c>
      <c r="G44" s="147">
        <f>SUMIFS('附表7-扣除项目明细采集底稿'!Y:Y,'附表7-扣除项目明细采集底稿'!E:E,数据对照表!F9,'附表7-扣除项目明细采集底稿'!V:V,"直接归集成本费用")</f>
        <v>0</v>
      </c>
      <c r="H44" s="148">
        <f t="shared" si="6"/>
        <v>0</v>
      </c>
      <c r="I44" s="147">
        <f>SUMIFS('附表7-扣除项目明细采集底稿'!W:W,'附表7-扣除项目明细采集底稿'!E:E,数据对照表!F9,'附表7-扣除项目明细采集底稿'!V:V,"共同成本费用")</f>
        <v>0</v>
      </c>
      <c r="J44" s="147">
        <f>SUMIFS('附表7-扣除项目明细采集底稿'!X:X,'附表7-扣除项目明细采集底稿'!E:E,数据对照表!F9,'附表7-扣除项目明细采集底稿'!V:V,"共同成本费用")</f>
        <v>0</v>
      </c>
      <c r="K44" s="147">
        <f>SUMIFS('附表7-扣除项目明细采集底稿'!Y:Y,'附表7-扣除项目明细采集底稿'!E:E,数据对照表!F9,'附表7-扣除项目明细采集底稿'!V:V,"共同成本费用")</f>
        <v>0</v>
      </c>
      <c r="L44" s="148">
        <f t="shared" si="7"/>
        <v>0</v>
      </c>
      <c r="M44" s="148">
        <f t="shared" si="8"/>
        <v>0</v>
      </c>
    </row>
    <row r="45" s="131" customFormat="1" ht="24" customHeight="1" spans="1:13">
      <c r="A45" s="146">
        <v>40</v>
      </c>
      <c r="B45" s="146"/>
      <c r="C45" s="146"/>
      <c r="D45" s="149" t="str">
        <f>数据对照表!F10</f>
        <v>环卫工程支出</v>
      </c>
      <c r="E45" s="147">
        <f>SUMIFS('附表7-扣除项目明细采集底稿'!W:W,'附表7-扣除项目明细采集底稿'!E:E,数据对照表!F10,'附表7-扣除项目明细采集底稿'!V:V,"直接归集成本费用")</f>
        <v>0</v>
      </c>
      <c r="F45" s="147">
        <f>SUMIFS('附表7-扣除项目明细采集底稿'!X:X,'附表7-扣除项目明细采集底稿'!E:E,数据对照表!F10,'附表7-扣除项目明细采集底稿'!V:V,"直接归集成本费用")</f>
        <v>0</v>
      </c>
      <c r="G45" s="147">
        <f>SUMIFS('附表7-扣除项目明细采集底稿'!Y:Y,'附表7-扣除项目明细采集底稿'!E:E,数据对照表!F10,'附表7-扣除项目明细采集底稿'!V:V,"直接归集成本费用")</f>
        <v>0</v>
      </c>
      <c r="H45" s="148">
        <f t="shared" si="6"/>
        <v>0</v>
      </c>
      <c r="I45" s="147">
        <f>SUMIFS('附表7-扣除项目明细采集底稿'!W:W,'附表7-扣除项目明细采集底稿'!E:E,数据对照表!F10,'附表7-扣除项目明细采集底稿'!V:V,"共同成本费用")</f>
        <v>0</v>
      </c>
      <c r="J45" s="147">
        <f>SUMIFS('附表7-扣除项目明细采集底稿'!X:X,'附表7-扣除项目明细采集底稿'!E:E,数据对照表!F10,'附表7-扣除项目明细采集底稿'!V:V,"共同成本费用")</f>
        <v>0</v>
      </c>
      <c r="K45" s="147">
        <f>SUMIFS('附表7-扣除项目明细采集底稿'!Y:Y,'附表7-扣除项目明细采集底稿'!E:E,数据对照表!F10,'附表7-扣除项目明细采集底稿'!V:V,"共同成本费用")</f>
        <v>0</v>
      </c>
      <c r="L45" s="148">
        <f t="shared" si="7"/>
        <v>0</v>
      </c>
      <c r="M45" s="148">
        <f t="shared" si="8"/>
        <v>0</v>
      </c>
    </row>
    <row r="46" s="131" customFormat="1" ht="24" customHeight="1" spans="1:13">
      <c r="A46" s="146">
        <v>41</v>
      </c>
      <c r="B46" s="146"/>
      <c r="C46" s="146"/>
      <c r="D46" s="149" t="str">
        <f>数据对照表!F11</f>
        <v>绿化费用</v>
      </c>
      <c r="E46" s="147">
        <f>SUMIFS('附表7-扣除项目明细采集底稿'!W:W,'附表7-扣除项目明细采集底稿'!E:E,数据对照表!F11,'附表7-扣除项目明细采集底稿'!V:V,"直接归集成本费用")</f>
        <v>0</v>
      </c>
      <c r="F46" s="147">
        <f>SUMIFS('附表7-扣除项目明细采集底稿'!X:X,'附表7-扣除项目明细采集底稿'!E:E,数据对照表!F11,'附表7-扣除项目明细采集底稿'!V:V,"直接归集成本费用")</f>
        <v>0</v>
      </c>
      <c r="G46" s="147">
        <f>SUMIFS('附表7-扣除项目明细采集底稿'!Y:Y,'附表7-扣除项目明细采集底稿'!E:E,数据对照表!F11,'附表7-扣除项目明细采集底稿'!V:V,"直接归集成本费用")</f>
        <v>0</v>
      </c>
      <c r="H46" s="148">
        <f t="shared" si="6"/>
        <v>0</v>
      </c>
      <c r="I46" s="147">
        <f>SUMIFS('附表7-扣除项目明细采集底稿'!W:W,'附表7-扣除项目明细采集底稿'!E:E,数据对照表!F11,'附表7-扣除项目明细采集底稿'!V:V,"共同成本费用")</f>
        <v>0</v>
      </c>
      <c r="J46" s="147">
        <f>SUMIFS('附表7-扣除项目明细采集底稿'!X:X,'附表7-扣除项目明细采集底稿'!E:E,数据对照表!F11,'附表7-扣除项目明细采集底稿'!V:V,"共同成本费用")</f>
        <v>0</v>
      </c>
      <c r="K46" s="147">
        <f>SUMIFS('附表7-扣除项目明细采集底稿'!Y:Y,'附表7-扣除项目明细采集底稿'!E:E,数据对照表!F11,'附表7-扣除项目明细采集底稿'!V:V,"共同成本费用")</f>
        <v>0</v>
      </c>
      <c r="L46" s="148">
        <f t="shared" si="7"/>
        <v>0</v>
      </c>
      <c r="M46" s="148">
        <f t="shared" si="8"/>
        <v>0</v>
      </c>
    </row>
    <row r="47" s="131" customFormat="1" ht="27.95" customHeight="1" spans="1:13">
      <c r="A47" s="146">
        <v>42</v>
      </c>
      <c r="B47" s="146"/>
      <c r="C47" s="146"/>
      <c r="D47" s="149" t="str">
        <f>数据对照表!F12</f>
        <v>其他设施工程发生的支出</v>
      </c>
      <c r="E47" s="147">
        <f>SUMIFS('附表7-扣除项目明细采集底稿'!W:W,'附表7-扣除项目明细采集底稿'!E:E,数据对照表!F12,'附表7-扣除项目明细采集底稿'!V:V,"直接归集成本费用")</f>
        <v>0</v>
      </c>
      <c r="F47" s="147">
        <f>SUMIFS('附表7-扣除项目明细采集底稿'!X:X,'附表7-扣除项目明细采集底稿'!E:E,数据对照表!F12,'附表7-扣除项目明细采集底稿'!V:V,"直接归集成本费用")</f>
        <v>0</v>
      </c>
      <c r="G47" s="147">
        <f>SUMIFS('附表7-扣除项目明细采集底稿'!Y:Y,'附表7-扣除项目明细采集底稿'!E:E,数据对照表!F12,'附表7-扣除项目明细采集底稿'!V:V,"直接归集成本费用")</f>
        <v>0</v>
      </c>
      <c r="H47" s="148">
        <f t="shared" si="6"/>
        <v>0</v>
      </c>
      <c r="I47" s="147">
        <f>SUMIFS('附表7-扣除项目明细采集底稿'!W:W,'附表7-扣除项目明细采集底稿'!E:E,数据对照表!F12,'附表7-扣除项目明细采集底稿'!V:V,"共同成本费用")</f>
        <v>0</v>
      </c>
      <c r="J47" s="147">
        <f>SUMIFS('附表7-扣除项目明细采集底稿'!X:X,'附表7-扣除项目明细采集底稿'!E:E,数据对照表!F12,'附表7-扣除项目明细采集底稿'!V:V,"共同成本费用")</f>
        <v>0</v>
      </c>
      <c r="K47" s="147">
        <f>SUMIFS('附表7-扣除项目明细采集底稿'!Y:Y,'附表7-扣除项目明细采集底稿'!E:E,数据对照表!F12,'附表7-扣除项目明细采集底稿'!V:V,"共同成本费用")</f>
        <v>0</v>
      </c>
      <c r="L47" s="148">
        <f t="shared" si="7"/>
        <v>0</v>
      </c>
      <c r="M47" s="148">
        <f t="shared" si="8"/>
        <v>0</v>
      </c>
    </row>
    <row r="48" s="131" customFormat="1" ht="24" customHeight="1" spans="1:13">
      <c r="A48" s="146">
        <v>43</v>
      </c>
      <c r="B48" s="146"/>
      <c r="C48" s="149" t="str">
        <f>数据对照表!G1</f>
        <v>公共配套设施费</v>
      </c>
      <c r="D48" s="149"/>
      <c r="E48" s="147">
        <f>SUMIFS('附表7-扣除项目明细采集底稿'!W:W,'附表7-扣除项目明细采集底稿'!D:D,数据对照表!G1,'附表7-扣除项目明细采集底稿'!V:V,"直接归集成本费用")</f>
        <v>0</v>
      </c>
      <c r="F48" s="147">
        <f>SUMIFS('附表7-扣除项目明细采集底稿'!X:X,'附表7-扣除项目明细采集底稿'!D:D,数据对照表!G1,'附表7-扣除项目明细采集底稿'!V:V,"直接归集成本费用")</f>
        <v>0</v>
      </c>
      <c r="G48" s="147">
        <f>SUMIFS('附表7-扣除项目明细采集底稿'!Y:Y,'附表7-扣除项目明细采集底稿'!D:D,数据对照表!G1,'附表7-扣除项目明细采集底稿'!V:V,"直接归集成本费用")</f>
        <v>0</v>
      </c>
      <c r="H48" s="148">
        <f t="shared" si="6"/>
        <v>0</v>
      </c>
      <c r="I48" s="147">
        <f>SUMIFS('附表7-扣除项目明细采集底稿'!W:W,'附表7-扣除项目明细采集底稿'!D:D,数据对照表!G1,'附表7-扣除项目明细采集底稿'!V:V,"共同成本费用")</f>
        <v>0</v>
      </c>
      <c r="J48" s="147">
        <f>SUMIFS('附表7-扣除项目明细采集底稿'!X:X,'附表7-扣除项目明细采集底稿'!D:D,数据对照表!G1,'附表7-扣除项目明细采集底稿'!V:V,"共同成本费用")</f>
        <v>0</v>
      </c>
      <c r="K48" s="147">
        <f>SUMIFS('附表7-扣除项目明细采集底稿'!Y:Y,'附表7-扣除项目明细采集底稿'!D:D,数据对照表!G1,'附表7-扣除项目明细采集底稿'!V:V,"共同成本费用")</f>
        <v>0</v>
      </c>
      <c r="L48" s="148">
        <f t="shared" si="7"/>
        <v>0</v>
      </c>
      <c r="M48" s="148">
        <f t="shared" si="8"/>
        <v>0</v>
      </c>
    </row>
    <row r="49" s="131" customFormat="1" ht="24" customHeight="1" spans="1:13">
      <c r="A49" s="146">
        <v>44</v>
      </c>
      <c r="B49" s="146"/>
      <c r="C49" s="146" t="s">
        <v>278</v>
      </c>
      <c r="D49" s="149" t="str">
        <f>数据对照表!G2</f>
        <v>居委会用房费用</v>
      </c>
      <c r="E49" s="147">
        <f>SUMIFS('附表7-扣除项目明细采集底稿'!W:W,'附表7-扣除项目明细采集底稿'!E:E,数据对照表!G2,'附表7-扣除项目明细采集底稿'!V:V,"直接归集成本费用")</f>
        <v>0</v>
      </c>
      <c r="F49" s="147">
        <f>SUMIFS('附表7-扣除项目明细采集底稿'!X:X,'附表7-扣除项目明细采集底稿'!E:E,数据对照表!G2,'附表7-扣除项目明细采集底稿'!V:V,"直接归集成本费用")</f>
        <v>0</v>
      </c>
      <c r="G49" s="147">
        <f>SUMIFS('附表7-扣除项目明细采集底稿'!Y:Y,'附表7-扣除项目明细采集底稿'!E:E,数据对照表!G2,'附表7-扣除项目明细采集底稿'!V:V,"直接归集成本费用")</f>
        <v>0</v>
      </c>
      <c r="H49" s="148">
        <f t="shared" si="6"/>
        <v>0</v>
      </c>
      <c r="I49" s="147">
        <f>SUMIFS('附表7-扣除项目明细采集底稿'!W:W,'附表7-扣除项目明细采集底稿'!E:E,数据对照表!G2,'附表7-扣除项目明细采集底稿'!V:V,"共同成本费用")</f>
        <v>0</v>
      </c>
      <c r="J49" s="147">
        <f>SUMIFS('附表7-扣除项目明细采集底稿'!X:X,'附表7-扣除项目明细采集底稿'!E:E,数据对照表!G2,'附表7-扣除项目明细采集底稿'!V:V,"共同成本费用")</f>
        <v>0</v>
      </c>
      <c r="K49" s="147">
        <f>SUMIFS('附表7-扣除项目明细采集底稿'!Y:Y,'附表7-扣除项目明细采集底稿'!E:E,数据对照表!G2,'附表7-扣除项目明细采集底稿'!V:V,"共同成本费用")</f>
        <v>0</v>
      </c>
      <c r="L49" s="148">
        <f t="shared" si="7"/>
        <v>0</v>
      </c>
      <c r="M49" s="148">
        <f t="shared" si="8"/>
        <v>0</v>
      </c>
    </row>
    <row r="50" s="131" customFormat="1" ht="24" customHeight="1" spans="1:13">
      <c r="A50" s="146">
        <v>45</v>
      </c>
      <c r="B50" s="146"/>
      <c r="C50" s="146"/>
      <c r="D50" s="149" t="str">
        <f>数据对照表!G3</f>
        <v>派出所用房费用</v>
      </c>
      <c r="E50" s="147">
        <f>SUMIFS('附表7-扣除项目明细采集底稿'!W:W,'附表7-扣除项目明细采集底稿'!E:E,数据对照表!G3,'附表7-扣除项目明细采集底稿'!V:V,"直接归集成本费用")</f>
        <v>0</v>
      </c>
      <c r="F50" s="147">
        <f>SUMIFS('附表7-扣除项目明细采集底稿'!X:X,'附表7-扣除项目明细采集底稿'!E:E,数据对照表!G3,'附表7-扣除项目明细采集底稿'!V:V,"直接归集成本费用")</f>
        <v>0</v>
      </c>
      <c r="G50" s="147">
        <f>SUMIFS('附表7-扣除项目明细采集底稿'!Y:Y,'附表7-扣除项目明细采集底稿'!E:E,数据对照表!G3,'附表7-扣除项目明细采集底稿'!V:V,"直接归集成本费用")</f>
        <v>0</v>
      </c>
      <c r="H50" s="148">
        <f t="shared" ref="H50:H66" si="9">SUM(E50:G50)</f>
        <v>0</v>
      </c>
      <c r="I50" s="147">
        <f>SUMIFS('附表7-扣除项目明细采集底稿'!W:W,'附表7-扣除项目明细采集底稿'!E:E,数据对照表!G3,'附表7-扣除项目明细采集底稿'!V:V,"共同成本费用")</f>
        <v>0</v>
      </c>
      <c r="J50" s="147">
        <f>SUMIFS('附表7-扣除项目明细采集底稿'!X:X,'附表7-扣除项目明细采集底稿'!E:E,数据对照表!G3,'附表7-扣除项目明细采集底稿'!V:V,"共同成本费用")</f>
        <v>0</v>
      </c>
      <c r="K50" s="147">
        <f>SUMIFS('附表7-扣除项目明细采集底稿'!Y:Y,'附表7-扣除项目明细采集底稿'!E:E,数据对照表!G3,'附表7-扣除项目明细采集底稿'!V:V,"共同成本费用")</f>
        <v>0</v>
      </c>
      <c r="L50" s="148">
        <f t="shared" ref="L50:L66" si="10">SUM(I50:K50)</f>
        <v>0</v>
      </c>
      <c r="M50" s="148">
        <f t="shared" ref="M50:M66" si="11">H50+L50</f>
        <v>0</v>
      </c>
    </row>
    <row r="51" s="131" customFormat="1" ht="24" customHeight="1" spans="1:13">
      <c r="A51" s="146">
        <v>46</v>
      </c>
      <c r="B51" s="146"/>
      <c r="C51" s="146"/>
      <c r="D51" s="149" t="str">
        <f>数据对照表!G4</f>
        <v>会所费用</v>
      </c>
      <c r="E51" s="147">
        <f>SUMIFS('附表7-扣除项目明细采集底稿'!W:W,'附表7-扣除项目明细采集底稿'!E:E,数据对照表!G4,'附表7-扣除项目明细采集底稿'!V:V,"直接归集成本费用")</f>
        <v>0</v>
      </c>
      <c r="F51" s="147">
        <f>SUMIFS('附表7-扣除项目明细采集底稿'!X:X,'附表7-扣除项目明细采集底稿'!E:E,数据对照表!G4,'附表7-扣除项目明细采集底稿'!V:V,"直接归集成本费用")</f>
        <v>0</v>
      </c>
      <c r="G51" s="147">
        <f>SUMIFS('附表7-扣除项目明细采集底稿'!Y:Y,'附表7-扣除项目明细采集底稿'!E:E,数据对照表!G4,'附表7-扣除项目明细采集底稿'!V:V,"直接归集成本费用")</f>
        <v>0</v>
      </c>
      <c r="H51" s="148">
        <f t="shared" si="9"/>
        <v>0</v>
      </c>
      <c r="I51" s="147">
        <f>SUMIFS('附表7-扣除项目明细采集底稿'!W:W,'附表7-扣除项目明细采集底稿'!E:E,数据对照表!G4,'附表7-扣除项目明细采集底稿'!V:V,"共同成本费用")</f>
        <v>0</v>
      </c>
      <c r="J51" s="147">
        <f>SUMIFS('附表7-扣除项目明细采集底稿'!X:X,'附表7-扣除项目明细采集底稿'!E:E,数据对照表!G4,'附表7-扣除项目明细采集底稿'!V:V,"共同成本费用")</f>
        <v>0</v>
      </c>
      <c r="K51" s="147">
        <f>SUMIFS('附表7-扣除项目明细采集底稿'!Y:Y,'附表7-扣除项目明细采集底稿'!E:E,数据对照表!G4,'附表7-扣除项目明细采集底稿'!V:V,"共同成本费用")</f>
        <v>0</v>
      </c>
      <c r="L51" s="148">
        <f t="shared" si="10"/>
        <v>0</v>
      </c>
      <c r="M51" s="148">
        <f t="shared" si="11"/>
        <v>0</v>
      </c>
    </row>
    <row r="52" s="131" customFormat="1" ht="24" customHeight="1" spans="1:13">
      <c r="A52" s="146">
        <v>47</v>
      </c>
      <c r="B52" s="146"/>
      <c r="C52" s="146"/>
      <c r="D52" s="149" t="str">
        <f>数据对照表!G5</f>
        <v>非机动车库（场）费用</v>
      </c>
      <c r="E52" s="147">
        <f>SUMIFS('附表7-扣除项目明细采集底稿'!W:W,'附表7-扣除项目明细采集底稿'!E:E,数据对照表!G5,'附表7-扣除项目明细采集底稿'!V:V,"直接归集成本费用")</f>
        <v>0</v>
      </c>
      <c r="F52" s="147">
        <f>SUMIFS('附表7-扣除项目明细采集底稿'!X:X,'附表7-扣除项目明细采集底稿'!E:E,数据对照表!G5,'附表7-扣除项目明细采集底稿'!V:V,"直接归集成本费用")</f>
        <v>0</v>
      </c>
      <c r="G52" s="147">
        <f>SUMIFS('附表7-扣除项目明细采集底稿'!Y:Y,'附表7-扣除项目明细采集底稿'!E:E,数据对照表!G5,'附表7-扣除项目明细采集底稿'!V:V,"直接归集成本费用")</f>
        <v>0</v>
      </c>
      <c r="H52" s="148">
        <f t="shared" si="9"/>
        <v>0</v>
      </c>
      <c r="I52" s="147">
        <f>SUMIFS('附表7-扣除项目明细采集底稿'!W:W,'附表7-扣除项目明细采集底稿'!E:E,数据对照表!G5,'附表7-扣除项目明细采集底稿'!V:V,"共同成本费用")</f>
        <v>0</v>
      </c>
      <c r="J52" s="147">
        <f>SUMIFS('附表7-扣除项目明细采集底稿'!X:X,'附表7-扣除项目明细采集底稿'!E:E,数据对照表!G5,'附表7-扣除项目明细采集底稿'!V:V,"共同成本费用")</f>
        <v>0</v>
      </c>
      <c r="K52" s="147">
        <f>SUMIFS('附表7-扣除项目明细采集底稿'!Y:Y,'附表7-扣除项目明细采集底稿'!E:E,数据对照表!G5,'附表7-扣除项目明细采集底稿'!V:V,"共同成本费用")</f>
        <v>0</v>
      </c>
      <c r="L52" s="148">
        <f t="shared" si="10"/>
        <v>0</v>
      </c>
      <c r="M52" s="148">
        <f t="shared" si="11"/>
        <v>0</v>
      </c>
    </row>
    <row r="53" s="131" customFormat="1" ht="24" customHeight="1" spans="1:13">
      <c r="A53" s="146">
        <v>48</v>
      </c>
      <c r="B53" s="146"/>
      <c r="C53" s="146"/>
      <c r="D53" s="149" t="str">
        <f>数据对照表!G6</f>
        <v>地下人防设施费用</v>
      </c>
      <c r="E53" s="147">
        <f>SUMIFS('附表7-扣除项目明细采集底稿'!W:W,'附表7-扣除项目明细采集底稿'!E:E,数据对照表!G6,'附表7-扣除项目明细采集底稿'!V:V,"直接归集成本费用")</f>
        <v>0</v>
      </c>
      <c r="F53" s="147">
        <f>SUMIFS('附表7-扣除项目明细采集底稿'!X:X,'附表7-扣除项目明细采集底稿'!E:E,数据对照表!G6,'附表7-扣除项目明细采集底稿'!V:V,"直接归集成本费用")</f>
        <v>0</v>
      </c>
      <c r="G53" s="147">
        <f>SUMIFS('附表7-扣除项目明细采集底稿'!Y:Y,'附表7-扣除项目明细采集底稿'!E:E,数据对照表!G6,'附表7-扣除项目明细采集底稿'!V:V,"直接归集成本费用")</f>
        <v>0</v>
      </c>
      <c r="H53" s="148">
        <f t="shared" si="9"/>
        <v>0</v>
      </c>
      <c r="I53" s="147">
        <f>SUMIFS('附表7-扣除项目明细采集底稿'!W:W,'附表7-扣除项目明细采集底稿'!E:E,数据对照表!G6,'附表7-扣除项目明细采集底稿'!V:V,"共同成本费用")</f>
        <v>0</v>
      </c>
      <c r="J53" s="147">
        <f>SUMIFS('附表7-扣除项目明细采集底稿'!X:X,'附表7-扣除项目明细采集底稿'!E:E,数据对照表!G6,'附表7-扣除项目明细采集底稿'!V:V,"共同成本费用")</f>
        <v>0</v>
      </c>
      <c r="K53" s="147">
        <f>SUMIFS('附表7-扣除项目明细采集底稿'!Y:Y,'附表7-扣除项目明细采集底稿'!E:E,数据对照表!G6,'附表7-扣除项目明细采集底稿'!V:V,"共同成本费用")</f>
        <v>0</v>
      </c>
      <c r="L53" s="148">
        <f t="shared" si="10"/>
        <v>0</v>
      </c>
      <c r="M53" s="148">
        <f t="shared" si="11"/>
        <v>0</v>
      </c>
    </row>
    <row r="54" s="131" customFormat="1" ht="24" customHeight="1" spans="1:13">
      <c r="A54" s="146">
        <v>49</v>
      </c>
      <c r="B54" s="146"/>
      <c r="C54" s="146"/>
      <c r="D54" s="149" t="str">
        <f>数据对照表!G7</f>
        <v>物业管理场所费用</v>
      </c>
      <c r="E54" s="147">
        <f>SUMIFS('附表7-扣除项目明细采集底稿'!W:W,'附表7-扣除项目明细采集底稿'!E:E,数据对照表!G7,'附表7-扣除项目明细采集底稿'!V:V,"直接归集成本费用")</f>
        <v>0</v>
      </c>
      <c r="F54" s="147">
        <f>SUMIFS('附表7-扣除项目明细采集底稿'!X:X,'附表7-扣除项目明细采集底稿'!E:E,数据对照表!G7,'附表7-扣除项目明细采集底稿'!V:V,"直接归集成本费用")</f>
        <v>0</v>
      </c>
      <c r="G54" s="147">
        <f>SUMIFS('附表7-扣除项目明细采集底稿'!Y:Y,'附表7-扣除项目明细采集底稿'!E:E,数据对照表!G7,'附表7-扣除项目明细采集底稿'!V:V,"直接归集成本费用")</f>
        <v>0</v>
      </c>
      <c r="H54" s="148">
        <f t="shared" si="9"/>
        <v>0</v>
      </c>
      <c r="I54" s="147">
        <f>SUMIFS('附表7-扣除项目明细采集底稿'!W:W,'附表7-扣除项目明细采集底稿'!E:E,数据对照表!G7,'附表7-扣除项目明细采集底稿'!V:V,"共同成本费用")</f>
        <v>0</v>
      </c>
      <c r="J54" s="147">
        <f>SUMIFS('附表7-扣除项目明细采集底稿'!X:X,'附表7-扣除项目明细采集底稿'!E:E,数据对照表!G7,'附表7-扣除项目明细采集底稿'!V:V,"共同成本费用")</f>
        <v>0</v>
      </c>
      <c r="K54" s="147">
        <f>SUMIFS('附表7-扣除项目明细采集底稿'!Y:Y,'附表7-扣除项目明细采集底稿'!E:E,数据对照表!G7,'附表7-扣除项目明细采集底稿'!V:V,"共同成本费用")</f>
        <v>0</v>
      </c>
      <c r="L54" s="148">
        <f t="shared" si="10"/>
        <v>0</v>
      </c>
      <c r="M54" s="148">
        <f t="shared" si="11"/>
        <v>0</v>
      </c>
    </row>
    <row r="55" s="131" customFormat="1" ht="24" customHeight="1" spans="1:13">
      <c r="A55" s="146">
        <v>50</v>
      </c>
      <c r="B55" s="146"/>
      <c r="C55" s="146"/>
      <c r="D55" s="149" t="str">
        <f>数据对照表!G8</f>
        <v>变电站费用</v>
      </c>
      <c r="E55" s="147">
        <f>SUMIFS('附表7-扣除项目明细采集底稿'!W:W,'附表7-扣除项目明细采集底稿'!E:E,数据对照表!G8,'附表7-扣除项目明细采集底稿'!V:V,"直接归集成本费用")</f>
        <v>0</v>
      </c>
      <c r="F55" s="147">
        <f>SUMIFS('附表7-扣除项目明细采集底稿'!X:X,'附表7-扣除项目明细采集底稿'!E:E,数据对照表!G8,'附表7-扣除项目明细采集底稿'!V:V,"直接归集成本费用")</f>
        <v>0</v>
      </c>
      <c r="G55" s="147">
        <f>SUMIFS('附表7-扣除项目明细采集底稿'!Y:Y,'附表7-扣除项目明细采集底稿'!E:E,数据对照表!G8,'附表7-扣除项目明细采集底稿'!V:V,"直接归集成本费用")</f>
        <v>0</v>
      </c>
      <c r="H55" s="148">
        <f t="shared" si="9"/>
        <v>0</v>
      </c>
      <c r="I55" s="147">
        <f>SUMIFS('附表7-扣除项目明细采集底稿'!W:W,'附表7-扣除项目明细采集底稿'!E:E,数据对照表!G8,'附表7-扣除项目明细采集底稿'!V:V,"共同成本费用")</f>
        <v>0</v>
      </c>
      <c r="J55" s="147">
        <f>SUMIFS('附表7-扣除项目明细采集底稿'!X:X,'附表7-扣除项目明细采集底稿'!E:E,数据对照表!G8,'附表7-扣除项目明细采集底稿'!V:V,"共同成本费用")</f>
        <v>0</v>
      </c>
      <c r="K55" s="147">
        <f>SUMIFS('附表7-扣除项目明细采集底稿'!Y:Y,'附表7-扣除项目明细采集底稿'!E:E,数据对照表!G8,'附表7-扣除项目明细采集底稿'!V:V,"共同成本费用")</f>
        <v>0</v>
      </c>
      <c r="L55" s="148">
        <f t="shared" si="10"/>
        <v>0</v>
      </c>
      <c r="M55" s="148">
        <f t="shared" si="11"/>
        <v>0</v>
      </c>
    </row>
    <row r="56" s="131" customFormat="1" ht="24" customHeight="1" spans="1:13">
      <c r="A56" s="146">
        <v>51</v>
      </c>
      <c r="B56" s="146"/>
      <c r="C56" s="146"/>
      <c r="D56" s="149" t="str">
        <f>数据对照表!G9</f>
        <v>热力站费用</v>
      </c>
      <c r="E56" s="147">
        <f>SUMIFS('附表7-扣除项目明细采集底稿'!W:W,'附表7-扣除项目明细采集底稿'!E:E,数据对照表!G9,'附表7-扣除项目明细采集底稿'!V:V,"直接归集成本费用")</f>
        <v>0</v>
      </c>
      <c r="F56" s="147">
        <f>SUMIFS('附表7-扣除项目明细采集底稿'!X:X,'附表7-扣除项目明细采集底稿'!E:E,数据对照表!G9,'附表7-扣除项目明细采集底稿'!V:V,"直接归集成本费用")</f>
        <v>0</v>
      </c>
      <c r="G56" s="147">
        <f>SUMIFS('附表7-扣除项目明细采集底稿'!Y:Y,'附表7-扣除项目明细采集底稿'!E:E,数据对照表!G9,'附表7-扣除项目明细采集底稿'!V:V,"直接归集成本费用")</f>
        <v>0</v>
      </c>
      <c r="H56" s="148">
        <f t="shared" si="9"/>
        <v>0</v>
      </c>
      <c r="I56" s="147">
        <f>SUMIFS('附表7-扣除项目明细采集底稿'!W:W,'附表7-扣除项目明细采集底稿'!E:E,数据对照表!G9,'附表7-扣除项目明细采集底稿'!V:V,"共同成本费用")</f>
        <v>0</v>
      </c>
      <c r="J56" s="147">
        <f>SUMIFS('附表7-扣除项目明细采集底稿'!X:X,'附表7-扣除项目明细采集底稿'!E:E,数据对照表!G9,'附表7-扣除项目明细采集底稿'!V:V,"共同成本费用")</f>
        <v>0</v>
      </c>
      <c r="K56" s="147">
        <f>SUMIFS('附表7-扣除项目明细采集底稿'!Y:Y,'附表7-扣除项目明细采集底稿'!E:E,数据对照表!G9,'附表7-扣除项目明细采集底稿'!V:V,"共同成本费用")</f>
        <v>0</v>
      </c>
      <c r="L56" s="148">
        <f t="shared" si="10"/>
        <v>0</v>
      </c>
      <c r="M56" s="148">
        <f t="shared" si="11"/>
        <v>0</v>
      </c>
    </row>
    <row r="57" s="131" customFormat="1" ht="24" customHeight="1" spans="1:13">
      <c r="A57" s="146">
        <v>52</v>
      </c>
      <c r="B57" s="146"/>
      <c r="C57" s="146"/>
      <c r="D57" s="149" t="str">
        <f>数据对照表!G10</f>
        <v>水厂费用</v>
      </c>
      <c r="E57" s="147">
        <f>SUMIFS('附表7-扣除项目明细采集底稿'!W:W,'附表7-扣除项目明细采集底稿'!E:E,数据对照表!G10,'附表7-扣除项目明细采集底稿'!V:V,"直接归集成本费用")</f>
        <v>0</v>
      </c>
      <c r="F57" s="147">
        <f>SUMIFS('附表7-扣除项目明细采集底稿'!X:X,'附表7-扣除项目明细采集底稿'!E:E,数据对照表!G10,'附表7-扣除项目明细采集底稿'!V:V,"直接归集成本费用")</f>
        <v>0</v>
      </c>
      <c r="G57" s="147">
        <f>SUMIFS('附表7-扣除项目明细采集底稿'!Y:Y,'附表7-扣除项目明细采集底稿'!E:E,数据对照表!G10,'附表7-扣除项目明细采集底稿'!V:V,"直接归集成本费用")</f>
        <v>0</v>
      </c>
      <c r="H57" s="148">
        <f t="shared" si="9"/>
        <v>0</v>
      </c>
      <c r="I57" s="147">
        <f>SUMIFS('附表7-扣除项目明细采集底稿'!W:W,'附表7-扣除项目明细采集底稿'!E:E,数据对照表!G10,'附表7-扣除项目明细采集底稿'!V:V,"共同成本费用")</f>
        <v>0</v>
      </c>
      <c r="J57" s="147">
        <f>SUMIFS('附表7-扣除项目明细采集底稿'!X:X,'附表7-扣除项目明细采集底稿'!E:E,数据对照表!G10,'附表7-扣除项目明细采集底稿'!V:V,"共同成本费用")</f>
        <v>0</v>
      </c>
      <c r="K57" s="147">
        <f>SUMIFS('附表7-扣除项目明细采集底稿'!Y:Y,'附表7-扣除项目明细采集底稿'!E:E,数据对照表!G10,'附表7-扣除项目明细采集底稿'!V:V,"共同成本费用")</f>
        <v>0</v>
      </c>
      <c r="L57" s="148">
        <f t="shared" si="10"/>
        <v>0</v>
      </c>
      <c r="M57" s="148">
        <f t="shared" si="11"/>
        <v>0</v>
      </c>
    </row>
    <row r="58" s="131" customFormat="1" ht="24" customHeight="1" spans="1:13">
      <c r="A58" s="146">
        <v>53</v>
      </c>
      <c r="B58" s="146"/>
      <c r="C58" s="146"/>
      <c r="D58" s="149" t="str">
        <f>数据对照表!G11</f>
        <v>文体场馆费用</v>
      </c>
      <c r="E58" s="147">
        <f>SUMIFS('附表7-扣除项目明细采集底稿'!W:W,'附表7-扣除项目明细采集底稿'!E:E,数据对照表!G11,'附表7-扣除项目明细采集底稿'!V:V,"直接归集成本费用")</f>
        <v>0</v>
      </c>
      <c r="F58" s="147">
        <f>SUMIFS('附表7-扣除项目明细采集底稿'!X:X,'附表7-扣除项目明细采集底稿'!E:E,数据对照表!G11,'附表7-扣除项目明细采集底稿'!V:V,"直接归集成本费用")</f>
        <v>0</v>
      </c>
      <c r="G58" s="147">
        <f>SUMIFS('附表7-扣除项目明细采集底稿'!Y:Y,'附表7-扣除项目明细采集底稿'!E:E,数据对照表!G11,'附表7-扣除项目明细采集底稿'!V:V,"直接归集成本费用")</f>
        <v>0</v>
      </c>
      <c r="H58" s="148">
        <f t="shared" si="9"/>
        <v>0</v>
      </c>
      <c r="I58" s="147">
        <f>SUMIFS('附表7-扣除项目明细采集底稿'!W:W,'附表7-扣除项目明细采集底稿'!E:E,数据对照表!G11,'附表7-扣除项目明细采集底稿'!V:V,"共同成本费用")</f>
        <v>0</v>
      </c>
      <c r="J58" s="147">
        <f>SUMIFS('附表7-扣除项目明细采集底稿'!X:X,'附表7-扣除项目明细采集底稿'!E:E,数据对照表!G11,'附表7-扣除项目明细采集底稿'!V:V,"共同成本费用")</f>
        <v>0</v>
      </c>
      <c r="K58" s="147">
        <f>SUMIFS('附表7-扣除项目明细采集底稿'!Y:Y,'附表7-扣除项目明细采集底稿'!E:E,数据对照表!G11,'附表7-扣除项目明细采集底稿'!V:V,"共同成本费用")</f>
        <v>0</v>
      </c>
      <c r="L58" s="148">
        <f t="shared" si="10"/>
        <v>0</v>
      </c>
      <c r="M58" s="148">
        <f t="shared" si="11"/>
        <v>0</v>
      </c>
    </row>
    <row r="59" s="131" customFormat="1" ht="24" customHeight="1" spans="1:13">
      <c r="A59" s="146">
        <v>54</v>
      </c>
      <c r="B59" s="146"/>
      <c r="C59" s="146"/>
      <c r="D59" s="149" t="str">
        <f>数据对照表!G12</f>
        <v>学校费用</v>
      </c>
      <c r="E59" s="147">
        <f>SUMIFS('附表7-扣除项目明细采集底稿'!W:W,'附表7-扣除项目明细采集底稿'!E:E,数据对照表!G12,'附表7-扣除项目明细采集底稿'!V:V,"直接归集成本费用")</f>
        <v>0</v>
      </c>
      <c r="F59" s="147">
        <f>SUMIFS('附表7-扣除项目明细采集底稿'!X:X,'附表7-扣除项目明细采集底稿'!E:E,数据对照表!G12,'附表7-扣除项目明细采集底稿'!V:V,"直接归集成本费用")</f>
        <v>0</v>
      </c>
      <c r="G59" s="147">
        <f>SUMIFS('附表7-扣除项目明细采集底稿'!Y:Y,'附表7-扣除项目明细采集底稿'!E:E,数据对照表!G12,'附表7-扣除项目明细采集底稿'!V:V,"直接归集成本费用")</f>
        <v>0</v>
      </c>
      <c r="H59" s="148">
        <f t="shared" si="9"/>
        <v>0</v>
      </c>
      <c r="I59" s="147">
        <f>SUMIFS('附表7-扣除项目明细采集底稿'!W:W,'附表7-扣除项目明细采集底稿'!E:E,数据对照表!G12,'附表7-扣除项目明细采集底稿'!V:V,"共同成本费用")</f>
        <v>0</v>
      </c>
      <c r="J59" s="147">
        <f>SUMIFS('附表7-扣除项目明细采集底稿'!X:X,'附表7-扣除项目明细采集底稿'!E:E,数据对照表!G12,'附表7-扣除项目明细采集底稿'!V:V,"共同成本费用")</f>
        <v>0</v>
      </c>
      <c r="K59" s="147">
        <f>SUMIFS('附表7-扣除项目明细采集底稿'!Y:Y,'附表7-扣除项目明细采集底稿'!E:E,数据对照表!G12,'附表7-扣除项目明细采集底稿'!V:V,"共同成本费用")</f>
        <v>0</v>
      </c>
      <c r="L59" s="148">
        <f t="shared" si="10"/>
        <v>0</v>
      </c>
      <c r="M59" s="148">
        <f t="shared" si="11"/>
        <v>0</v>
      </c>
    </row>
    <row r="60" s="131" customFormat="1" ht="24" customHeight="1" spans="1:13">
      <c r="A60" s="146">
        <v>55</v>
      </c>
      <c r="B60" s="146"/>
      <c r="C60" s="146"/>
      <c r="D60" s="149" t="str">
        <f>数据对照表!G13</f>
        <v>幼儿园费用</v>
      </c>
      <c r="E60" s="147">
        <f>SUMIFS('附表7-扣除项目明细采集底稿'!W:W,'附表7-扣除项目明细采集底稿'!E:E,数据对照表!G13,'附表7-扣除项目明细采集底稿'!V:V,"直接归集成本费用")</f>
        <v>0</v>
      </c>
      <c r="F60" s="147">
        <f>SUMIFS('附表7-扣除项目明细采集底稿'!X:X,'附表7-扣除项目明细采集底稿'!E:E,数据对照表!G13,'附表7-扣除项目明细采集底稿'!V:V,"直接归集成本费用")</f>
        <v>0</v>
      </c>
      <c r="G60" s="147">
        <f>SUMIFS('附表7-扣除项目明细采集底稿'!Y:Y,'附表7-扣除项目明细采集底稿'!E:E,数据对照表!G13,'附表7-扣除项目明细采集底稿'!V:V,"直接归集成本费用")</f>
        <v>0</v>
      </c>
      <c r="H60" s="148">
        <f t="shared" si="9"/>
        <v>0</v>
      </c>
      <c r="I60" s="147">
        <f>SUMIFS('附表7-扣除项目明细采集底稿'!W:W,'附表7-扣除项目明细采集底稿'!E:E,数据对照表!G13,'附表7-扣除项目明细采集底稿'!V:V,"共同成本费用")</f>
        <v>0</v>
      </c>
      <c r="J60" s="147">
        <f>SUMIFS('附表7-扣除项目明细采集底稿'!X:X,'附表7-扣除项目明细采集底稿'!E:E,数据对照表!G13,'附表7-扣除项目明细采集底稿'!V:V,"共同成本费用")</f>
        <v>0</v>
      </c>
      <c r="K60" s="147">
        <f>SUMIFS('附表7-扣除项目明细采集底稿'!Y:Y,'附表7-扣除项目明细采集底稿'!E:E,数据对照表!G13,'附表7-扣除项目明细采集底稿'!V:V,"共同成本费用")</f>
        <v>0</v>
      </c>
      <c r="L60" s="148">
        <f t="shared" si="10"/>
        <v>0</v>
      </c>
      <c r="M60" s="148">
        <f t="shared" si="11"/>
        <v>0</v>
      </c>
    </row>
    <row r="61" s="131" customFormat="1" ht="24" customHeight="1" spans="1:13">
      <c r="A61" s="146">
        <v>56</v>
      </c>
      <c r="B61" s="146"/>
      <c r="C61" s="146"/>
      <c r="D61" s="149" t="str">
        <f>数据对照表!G14</f>
        <v>托儿所费用</v>
      </c>
      <c r="E61" s="147">
        <f>SUMIFS('附表7-扣除项目明细采集底稿'!W:W,'附表7-扣除项目明细采集底稿'!E:E,数据对照表!G14,'附表7-扣除项目明细采集底稿'!V:V,"直接归集成本费用")</f>
        <v>0</v>
      </c>
      <c r="F61" s="147">
        <f>SUMIFS('附表7-扣除项目明细采集底稿'!X:X,'附表7-扣除项目明细采集底稿'!E:E,数据对照表!G14,'附表7-扣除项目明细采集底稿'!V:V,"直接归集成本费用")</f>
        <v>0</v>
      </c>
      <c r="G61" s="147">
        <f>SUMIFS('附表7-扣除项目明细采集底稿'!Y:Y,'附表7-扣除项目明细采集底稿'!E:E,数据对照表!G14,'附表7-扣除项目明细采集底稿'!V:V,"直接归集成本费用")</f>
        <v>0</v>
      </c>
      <c r="H61" s="148">
        <f t="shared" si="9"/>
        <v>0</v>
      </c>
      <c r="I61" s="147">
        <f>SUMIFS('附表7-扣除项目明细采集底稿'!W:W,'附表7-扣除项目明细采集底稿'!E:E,数据对照表!G14,'附表7-扣除项目明细采集底稿'!V:V,"共同成本费用")</f>
        <v>0</v>
      </c>
      <c r="J61" s="147">
        <f>SUMIFS('附表7-扣除项目明细采集底稿'!X:X,'附表7-扣除项目明细采集底稿'!E:E,数据对照表!G14,'附表7-扣除项目明细采集底稿'!V:V,"共同成本费用")</f>
        <v>0</v>
      </c>
      <c r="K61" s="147">
        <f>SUMIFS('附表7-扣除项目明细采集底稿'!Y:Y,'附表7-扣除项目明细采集底稿'!E:E,数据对照表!G14,'附表7-扣除项目明细采集底稿'!V:V,"共同成本费用")</f>
        <v>0</v>
      </c>
      <c r="L61" s="148">
        <f t="shared" si="10"/>
        <v>0</v>
      </c>
      <c r="M61" s="148">
        <f t="shared" si="11"/>
        <v>0</v>
      </c>
    </row>
    <row r="62" s="131" customFormat="1" ht="24" customHeight="1" spans="1:13">
      <c r="A62" s="146">
        <v>57</v>
      </c>
      <c r="B62" s="146"/>
      <c r="C62" s="146"/>
      <c r="D62" s="149" t="str">
        <f>数据对照表!G15</f>
        <v>医院费用</v>
      </c>
      <c r="E62" s="147">
        <f>SUMIFS('附表7-扣除项目明细采集底稿'!W:W,'附表7-扣除项目明细采集底稿'!E:E,数据对照表!G15,'附表7-扣除项目明细采集底稿'!V:V,"直接归集成本费用")</f>
        <v>0</v>
      </c>
      <c r="F62" s="147">
        <f>SUMIFS('附表7-扣除项目明细采集底稿'!X:X,'附表7-扣除项目明细采集底稿'!E:E,数据对照表!G15,'附表7-扣除项目明细采集底稿'!V:V,"直接归集成本费用")</f>
        <v>0</v>
      </c>
      <c r="G62" s="147">
        <f>SUMIFS('附表7-扣除项目明细采集底稿'!Y:Y,'附表7-扣除项目明细采集底稿'!E:E,数据对照表!G15,'附表7-扣除项目明细采集底稿'!V:V,"直接归集成本费用")</f>
        <v>0</v>
      </c>
      <c r="H62" s="148">
        <f t="shared" si="9"/>
        <v>0</v>
      </c>
      <c r="I62" s="147">
        <f>SUMIFS('附表7-扣除项目明细采集底稿'!W:W,'附表7-扣除项目明细采集底稿'!E:E,数据对照表!G15,'附表7-扣除项目明细采集底稿'!V:V,"共同成本费用")</f>
        <v>0</v>
      </c>
      <c r="J62" s="147">
        <f>SUMIFS('附表7-扣除项目明细采集底稿'!X:X,'附表7-扣除项目明细采集底稿'!E:E,数据对照表!G15,'附表7-扣除项目明细采集底稿'!V:V,"共同成本费用")</f>
        <v>0</v>
      </c>
      <c r="K62" s="147">
        <f>SUMIFS('附表7-扣除项目明细采集底稿'!Y:Y,'附表7-扣除项目明细采集底稿'!E:E,数据对照表!G15,'附表7-扣除项目明细采集底稿'!V:V,"共同成本费用")</f>
        <v>0</v>
      </c>
      <c r="L62" s="148">
        <f t="shared" si="10"/>
        <v>0</v>
      </c>
      <c r="M62" s="148">
        <f t="shared" si="11"/>
        <v>0</v>
      </c>
    </row>
    <row r="63" s="131" customFormat="1" ht="24" customHeight="1" spans="1:13">
      <c r="A63" s="146">
        <v>58</v>
      </c>
      <c r="B63" s="146"/>
      <c r="C63" s="146"/>
      <c r="D63" s="149" t="str">
        <f>数据对照表!G16</f>
        <v>邮电通讯费用</v>
      </c>
      <c r="E63" s="147">
        <f>SUMIFS('附表7-扣除项目明细采集底稿'!W:W,'附表7-扣除项目明细采集底稿'!E:E,数据对照表!G16,'附表7-扣除项目明细采集底稿'!V:V,"直接归集成本费用")</f>
        <v>0</v>
      </c>
      <c r="F63" s="147">
        <f>SUMIFS('附表7-扣除项目明细采集底稿'!X:X,'附表7-扣除项目明细采集底稿'!E:E,数据对照表!G16,'附表7-扣除项目明细采集底稿'!V:V,"直接归集成本费用")</f>
        <v>0</v>
      </c>
      <c r="G63" s="147">
        <f>SUMIFS('附表7-扣除项目明细采集底稿'!Y:Y,'附表7-扣除项目明细采集底稿'!E:E,数据对照表!G16,'附表7-扣除项目明细采集底稿'!V:V,"直接归集成本费用")</f>
        <v>0</v>
      </c>
      <c r="H63" s="148">
        <f t="shared" si="9"/>
        <v>0</v>
      </c>
      <c r="I63" s="147">
        <f>SUMIFS('附表7-扣除项目明细采集底稿'!W:W,'附表7-扣除项目明细采集底稿'!E:E,数据对照表!G16,'附表7-扣除项目明细采集底稿'!V:V,"共同成本费用")</f>
        <v>0</v>
      </c>
      <c r="J63" s="147">
        <f>SUMIFS('附表7-扣除项目明细采集底稿'!X:X,'附表7-扣除项目明细采集底稿'!E:E,数据对照表!G16,'附表7-扣除项目明细采集底稿'!V:V,"共同成本费用")</f>
        <v>0</v>
      </c>
      <c r="K63" s="147">
        <f>SUMIFS('附表7-扣除项目明细采集底稿'!Y:Y,'附表7-扣除项目明细采集底稿'!E:E,数据对照表!G16,'附表7-扣除项目明细采集底稿'!V:V,"共同成本费用")</f>
        <v>0</v>
      </c>
      <c r="L63" s="148">
        <f t="shared" si="10"/>
        <v>0</v>
      </c>
      <c r="M63" s="148">
        <f t="shared" si="11"/>
        <v>0</v>
      </c>
    </row>
    <row r="64" s="131" customFormat="1" ht="27.95" customHeight="1" spans="1:13">
      <c r="A64" s="146">
        <v>59</v>
      </c>
      <c r="B64" s="146"/>
      <c r="C64" s="146"/>
      <c r="D64" s="149" t="str">
        <f>数据对照表!G17</f>
        <v>其他非营业性房产费用</v>
      </c>
      <c r="E64" s="147">
        <f>SUMIFS('附表7-扣除项目明细采集底稿'!W:W,'附表7-扣除项目明细采集底稿'!E:E,数据对照表!G17,'附表7-扣除项目明细采集底稿'!V:V,"直接归集成本费用")</f>
        <v>0</v>
      </c>
      <c r="F64" s="147">
        <f>SUMIFS('附表7-扣除项目明细采集底稿'!X:X,'附表7-扣除项目明细采集底稿'!E:E,数据对照表!G17,'附表7-扣除项目明细采集底稿'!V:V,"直接归集成本费用")</f>
        <v>0</v>
      </c>
      <c r="G64" s="147">
        <f>SUMIFS('附表7-扣除项目明细采集底稿'!Y:Y,'附表7-扣除项目明细采集底稿'!E:E,数据对照表!G17,'附表7-扣除项目明细采集底稿'!V:V,"直接归集成本费用")</f>
        <v>0</v>
      </c>
      <c r="H64" s="148">
        <f t="shared" si="9"/>
        <v>0</v>
      </c>
      <c r="I64" s="147">
        <f>SUMIFS('附表7-扣除项目明细采集底稿'!W:W,'附表7-扣除项目明细采集底稿'!E:E,数据对照表!G17,'附表7-扣除项目明细采集底稿'!V:V,"共同成本费用")</f>
        <v>0</v>
      </c>
      <c r="J64" s="147">
        <f>SUMIFS('附表7-扣除项目明细采集底稿'!X:X,'附表7-扣除项目明细采集底稿'!E:E,数据对照表!G17,'附表7-扣除项目明细采集底稿'!V:V,"共同成本费用")</f>
        <v>0</v>
      </c>
      <c r="K64" s="147">
        <f>SUMIFS('附表7-扣除项目明细采集底稿'!Y:Y,'附表7-扣除项目明细采集底稿'!E:E,数据对照表!G17,'附表7-扣除项目明细采集底稿'!V:V,"共同成本费用")</f>
        <v>0</v>
      </c>
      <c r="L64" s="148">
        <f t="shared" si="10"/>
        <v>0</v>
      </c>
      <c r="M64" s="148">
        <f t="shared" si="11"/>
        <v>0</v>
      </c>
    </row>
    <row r="65" s="131" customFormat="1" ht="24" customHeight="1" spans="1:13">
      <c r="A65" s="146">
        <v>60</v>
      </c>
      <c r="B65" s="146"/>
      <c r="C65" s="63" t="str">
        <f>数据对照表!H1</f>
        <v>开发间接费用</v>
      </c>
      <c r="D65" s="63"/>
      <c r="E65" s="147">
        <f>SUMIFS('附表7-扣除项目明细采集底稿'!W:W,'附表7-扣除项目明细采集底稿'!D:D,数据对照表!H1,'附表7-扣除项目明细采集底稿'!V:V,"直接归集成本费用")</f>
        <v>0</v>
      </c>
      <c r="F65" s="147">
        <f>SUMIFS('附表7-扣除项目明细采集底稿'!X:X,'附表7-扣除项目明细采集底稿'!D:D,数据对照表!H1,'附表7-扣除项目明细采集底稿'!V:V,"直接归集成本费用")</f>
        <v>0</v>
      </c>
      <c r="G65" s="147">
        <f>SUMIFS('附表7-扣除项目明细采集底稿'!Y:Y,'附表7-扣除项目明细采集底稿'!D:D,数据对照表!H1,'附表7-扣除项目明细采集底稿'!V:V,"直接归集成本费用")</f>
        <v>0</v>
      </c>
      <c r="H65" s="148">
        <f t="shared" si="9"/>
        <v>0</v>
      </c>
      <c r="I65" s="147">
        <f>SUMIFS('附表7-扣除项目明细采集底稿'!W:W,'附表7-扣除项目明细采集底稿'!D:D,数据对照表!H1,'附表7-扣除项目明细采集底稿'!V:V,"共同成本费用")</f>
        <v>0</v>
      </c>
      <c r="J65" s="147">
        <f>SUMIFS('附表7-扣除项目明细采集底稿'!X:X,'附表7-扣除项目明细采集底稿'!D:D,数据对照表!H1,'附表7-扣除项目明细采集底稿'!V:V,"共同成本费用")</f>
        <v>0</v>
      </c>
      <c r="K65" s="147">
        <f>SUMIFS('附表7-扣除项目明细采集底稿'!Y:Y,'附表7-扣除项目明细采集底稿'!D:D,数据对照表!H1,'附表7-扣除项目明细采集底稿'!V:V,"共同成本费用")</f>
        <v>0</v>
      </c>
      <c r="L65" s="148">
        <f t="shared" si="10"/>
        <v>0</v>
      </c>
      <c r="M65" s="148">
        <f t="shared" si="11"/>
        <v>0</v>
      </c>
    </row>
    <row r="66" s="131" customFormat="1" ht="24" customHeight="1" spans="1:13">
      <c r="A66" s="146">
        <v>61</v>
      </c>
      <c r="B66" s="146"/>
      <c r="C66" s="146" t="s">
        <v>278</v>
      </c>
      <c r="D66" s="149" t="str">
        <f>数据对照表!H2</f>
        <v>管理人员工资</v>
      </c>
      <c r="E66" s="147">
        <f>SUMIFS('附表7-扣除项目明细采集底稿'!W:W,'附表7-扣除项目明细采集底稿'!E:E,数据对照表!H2,'附表7-扣除项目明细采集底稿'!V:V,"直接归集成本费用")</f>
        <v>0</v>
      </c>
      <c r="F66" s="147">
        <f>SUMIFS('附表7-扣除项目明细采集底稿'!X:X,'附表7-扣除项目明细采集底稿'!E:E,数据对照表!H2,'附表7-扣除项目明细采集底稿'!V:V,"直接归集成本费用")</f>
        <v>0</v>
      </c>
      <c r="G66" s="147">
        <f>SUMIFS('附表7-扣除项目明细采集底稿'!Y:Y,'附表7-扣除项目明细采集底稿'!E:E,数据对照表!H2,'附表7-扣除项目明细采集底稿'!V:V,"直接归集成本费用")</f>
        <v>0</v>
      </c>
      <c r="H66" s="148">
        <f t="shared" si="9"/>
        <v>0</v>
      </c>
      <c r="I66" s="147">
        <f>SUMIFS('附表7-扣除项目明细采集底稿'!W:W,'附表7-扣除项目明细采集底稿'!E:E,数据对照表!H2,'附表7-扣除项目明细采集底稿'!V:V,"共同成本费用")</f>
        <v>0</v>
      </c>
      <c r="J66" s="147">
        <f>SUMIFS('附表7-扣除项目明细采集底稿'!X:X,'附表7-扣除项目明细采集底稿'!E:E,数据对照表!H2,'附表7-扣除项目明细采集底稿'!V:V,"共同成本费用")</f>
        <v>0</v>
      </c>
      <c r="K66" s="147">
        <f>SUMIFS('附表7-扣除项目明细采集底稿'!Y:Y,'附表7-扣除项目明细采集底稿'!E:E,数据对照表!H2,'附表7-扣除项目明细采集底稿'!V:V,"共同成本费用")</f>
        <v>0</v>
      </c>
      <c r="L66" s="148">
        <f t="shared" si="10"/>
        <v>0</v>
      </c>
      <c r="M66" s="148">
        <f t="shared" si="11"/>
        <v>0</v>
      </c>
    </row>
    <row r="67" s="131" customFormat="1" ht="24" customHeight="1" spans="1:13">
      <c r="A67" s="146">
        <v>62</v>
      </c>
      <c r="B67" s="146"/>
      <c r="C67" s="146"/>
      <c r="D67" s="149" t="str">
        <f>数据对照表!H3</f>
        <v>职工福利费</v>
      </c>
      <c r="E67" s="147">
        <f>SUMIFS('附表7-扣除项目明细采集底稿'!W:W,'附表7-扣除项目明细采集底稿'!E:E,数据对照表!H3,'附表7-扣除项目明细采集底稿'!V:V,"直接归集成本费用")</f>
        <v>0</v>
      </c>
      <c r="F67" s="147">
        <f>SUMIFS('附表7-扣除项目明细采集底稿'!X:X,'附表7-扣除项目明细采集底稿'!E:E,数据对照表!H3,'附表7-扣除项目明细采集底稿'!V:V,"直接归集成本费用")</f>
        <v>0</v>
      </c>
      <c r="G67" s="147">
        <f>SUMIFS('附表7-扣除项目明细采集底稿'!Y:Y,'附表7-扣除项目明细采集底稿'!E:E,数据对照表!H3,'附表7-扣除项目明细采集底稿'!V:V,"直接归集成本费用")</f>
        <v>0</v>
      </c>
      <c r="H67" s="148">
        <f t="shared" ref="H67:H74" si="12">SUM(E67:G67)</f>
        <v>0</v>
      </c>
      <c r="I67" s="147">
        <f>SUMIFS('附表7-扣除项目明细采集底稿'!W:W,'附表7-扣除项目明细采集底稿'!E:E,数据对照表!H3,'附表7-扣除项目明细采集底稿'!V:V,"共同成本费用")</f>
        <v>0</v>
      </c>
      <c r="J67" s="147">
        <f>SUMIFS('附表7-扣除项目明细采集底稿'!X:X,'附表7-扣除项目明细采集底稿'!E:E,数据对照表!H3,'附表7-扣除项目明细采集底稿'!V:V,"共同成本费用")</f>
        <v>0</v>
      </c>
      <c r="K67" s="147">
        <f>SUMIFS('附表7-扣除项目明细采集底稿'!Y:Y,'附表7-扣除项目明细采集底稿'!E:E,数据对照表!H3,'附表7-扣除项目明细采集底稿'!V:V,"共同成本费用")</f>
        <v>0</v>
      </c>
      <c r="L67" s="148">
        <f t="shared" ref="L67:L78" si="13">SUM(I67:K67)</f>
        <v>0</v>
      </c>
      <c r="M67" s="148">
        <f t="shared" ref="M67:M74" si="14">H67+L67</f>
        <v>0</v>
      </c>
    </row>
    <row r="68" s="131" customFormat="1" ht="24" customHeight="1" spans="1:13">
      <c r="A68" s="146">
        <v>63</v>
      </c>
      <c r="B68" s="146"/>
      <c r="C68" s="146"/>
      <c r="D68" s="149" t="str">
        <f>数据对照表!H4</f>
        <v>折旧费</v>
      </c>
      <c r="E68" s="147">
        <f>SUMIFS('附表7-扣除项目明细采集底稿'!W:W,'附表7-扣除项目明细采集底稿'!E:E,数据对照表!H4,'附表7-扣除项目明细采集底稿'!V:V,"直接归集成本费用")</f>
        <v>0</v>
      </c>
      <c r="F68" s="147">
        <f>SUMIFS('附表7-扣除项目明细采集底稿'!X:X,'附表7-扣除项目明细采集底稿'!E:E,数据对照表!H4,'附表7-扣除项目明细采集底稿'!V:V,"直接归集成本费用")</f>
        <v>0</v>
      </c>
      <c r="G68" s="147">
        <f>SUMIFS('附表7-扣除项目明细采集底稿'!Y:Y,'附表7-扣除项目明细采集底稿'!E:E,数据对照表!H4,'附表7-扣除项目明细采集底稿'!V:V,"直接归集成本费用")</f>
        <v>0</v>
      </c>
      <c r="H68" s="148">
        <f t="shared" si="12"/>
        <v>0</v>
      </c>
      <c r="I68" s="147">
        <f>SUMIFS('附表7-扣除项目明细采集底稿'!W:W,'附表7-扣除项目明细采集底稿'!E:E,数据对照表!H4,'附表7-扣除项目明细采集底稿'!V:V,"共同成本费用")</f>
        <v>0</v>
      </c>
      <c r="J68" s="147">
        <f>SUMIFS('附表7-扣除项目明细采集底稿'!X:X,'附表7-扣除项目明细采集底稿'!E:E,数据对照表!H4,'附表7-扣除项目明细采集底稿'!V:V,"共同成本费用")</f>
        <v>0</v>
      </c>
      <c r="K68" s="147">
        <f>SUMIFS('附表7-扣除项目明细采集底稿'!Y:Y,'附表7-扣除项目明细采集底稿'!E:E,数据对照表!H4,'附表7-扣除项目明细采集底稿'!V:V,"共同成本费用")</f>
        <v>0</v>
      </c>
      <c r="L68" s="148">
        <f t="shared" si="13"/>
        <v>0</v>
      </c>
      <c r="M68" s="148">
        <f t="shared" si="14"/>
        <v>0</v>
      </c>
    </row>
    <row r="69" s="131" customFormat="1" ht="24" customHeight="1" spans="1:13">
      <c r="A69" s="146">
        <v>64</v>
      </c>
      <c r="B69" s="146"/>
      <c r="C69" s="146"/>
      <c r="D69" s="149" t="str">
        <f>数据对照表!H5</f>
        <v>修理费</v>
      </c>
      <c r="E69" s="147">
        <f>SUMIFS('附表7-扣除项目明细采集底稿'!W:W,'附表7-扣除项目明细采集底稿'!E:E,数据对照表!H5,'附表7-扣除项目明细采集底稿'!V:V,"直接归集成本费用")</f>
        <v>0</v>
      </c>
      <c r="F69" s="147">
        <f>SUMIFS('附表7-扣除项目明细采集底稿'!X:X,'附表7-扣除项目明细采集底稿'!E:E,数据对照表!H5,'附表7-扣除项目明细采集底稿'!V:V,"直接归集成本费用")</f>
        <v>0</v>
      </c>
      <c r="G69" s="147">
        <f>SUMIFS('附表7-扣除项目明细采集底稿'!Y:Y,'附表7-扣除项目明细采集底稿'!E:E,数据对照表!H5,'附表7-扣除项目明细采集底稿'!V:V,"直接归集成本费用")</f>
        <v>0</v>
      </c>
      <c r="H69" s="148">
        <f t="shared" si="12"/>
        <v>0</v>
      </c>
      <c r="I69" s="147">
        <f>SUMIFS('附表7-扣除项目明细采集底稿'!W:W,'附表7-扣除项目明细采集底稿'!E:E,数据对照表!H5,'附表7-扣除项目明细采集底稿'!V:V,"共同成本费用")</f>
        <v>0</v>
      </c>
      <c r="J69" s="147">
        <f>SUMIFS('附表7-扣除项目明细采集底稿'!X:X,'附表7-扣除项目明细采集底稿'!E:E,数据对照表!H5,'附表7-扣除项目明细采集底稿'!V:V,"共同成本费用")</f>
        <v>0</v>
      </c>
      <c r="K69" s="147">
        <f>SUMIFS('附表7-扣除项目明细采集底稿'!Y:Y,'附表7-扣除项目明细采集底稿'!E:E,数据对照表!H5,'附表7-扣除项目明细采集底稿'!V:V,"共同成本费用")</f>
        <v>0</v>
      </c>
      <c r="L69" s="148">
        <f t="shared" si="13"/>
        <v>0</v>
      </c>
      <c r="M69" s="148">
        <f t="shared" si="14"/>
        <v>0</v>
      </c>
    </row>
    <row r="70" s="131" customFormat="1" ht="24" customHeight="1" spans="1:13">
      <c r="A70" s="146">
        <v>65</v>
      </c>
      <c r="B70" s="146"/>
      <c r="C70" s="146"/>
      <c r="D70" s="149" t="str">
        <f>数据对照表!H6</f>
        <v>办公费</v>
      </c>
      <c r="E70" s="147">
        <f>SUMIFS('附表7-扣除项目明细采集底稿'!W:W,'附表7-扣除项目明细采集底稿'!E:E,数据对照表!H6,'附表7-扣除项目明细采集底稿'!V:V,"直接归集成本费用")</f>
        <v>0</v>
      </c>
      <c r="F70" s="147">
        <f>SUMIFS('附表7-扣除项目明细采集底稿'!X:X,'附表7-扣除项目明细采集底稿'!E:E,数据对照表!H6,'附表7-扣除项目明细采集底稿'!V:V,"直接归集成本费用")</f>
        <v>0</v>
      </c>
      <c r="G70" s="147">
        <f>SUMIFS('附表7-扣除项目明细采集底稿'!Y:Y,'附表7-扣除项目明细采集底稿'!E:E,数据对照表!H6,'附表7-扣除项目明细采集底稿'!V:V,"直接归集成本费用")</f>
        <v>0</v>
      </c>
      <c r="H70" s="148">
        <f t="shared" si="12"/>
        <v>0</v>
      </c>
      <c r="I70" s="147">
        <f>SUMIFS('附表7-扣除项目明细采集底稿'!W:W,'附表7-扣除项目明细采集底稿'!E:E,数据对照表!H6,'附表7-扣除项目明细采集底稿'!V:V,"共同成本费用")</f>
        <v>0</v>
      </c>
      <c r="J70" s="147">
        <f>SUMIFS('附表7-扣除项目明细采集底稿'!X:X,'附表7-扣除项目明细采集底稿'!E:E,数据对照表!H6,'附表7-扣除项目明细采集底稿'!V:V,"共同成本费用")</f>
        <v>0</v>
      </c>
      <c r="K70" s="147">
        <f>SUMIFS('附表7-扣除项目明细采集底稿'!Y:Y,'附表7-扣除项目明细采集底稿'!E:E,数据对照表!H6,'附表7-扣除项目明细采集底稿'!V:V,"共同成本费用")</f>
        <v>0</v>
      </c>
      <c r="L70" s="148">
        <f t="shared" si="13"/>
        <v>0</v>
      </c>
      <c r="M70" s="148">
        <f t="shared" si="14"/>
        <v>0</v>
      </c>
    </row>
    <row r="71" s="131" customFormat="1" ht="24" customHeight="1" spans="1:13">
      <c r="A71" s="146">
        <v>66</v>
      </c>
      <c r="B71" s="146"/>
      <c r="C71" s="146"/>
      <c r="D71" s="149" t="str">
        <f>数据对照表!H7</f>
        <v>水电费</v>
      </c>
      <c r="E71" s="147">
        <f>SUMIFS('附表7-扣除项目明细采集底稿'!W:W,'附表7-扣除项目明细采集底稿'!E:E,数据对照表!H7,'附表7-扣除项目明细采集底稿'!V:V,"直接归集成本费用")</f>
        <v>0</v>
      </c>
      <c r="F71" s="147">
        <f>SUMIFS('附表7-扣除项目明细采集底稿'!X:X,'附表7-扣除项目明细采集底稿'!E:E,数据对照表!H7,'附表7-扣除项目明细采集底稿'!V:V,"直接归集成本费用")</f>
        <v>0</v>
      </c>
      <c r="G71" s="147">
        <f>SUMIFS('附表7-扣除项目明细采集底稿'!Y:Y,'附表7-扣除项目明细采集底稿'!E:E,数据对照表!H7,'附表7-扣除项目明细采集底稿'!V:V,"直接归集成本费用")</f>
        <v>0</v>
      </c>
      <c r="H71" s="148">
        <f t="shared" si="12"/>
        <v>0</v>
      </c>
      <c r="I71" s="147">
        <f>SUMIFS('附表7-扣除项目明细采集底稿'!W:W,'附表7-扣除项目明细采集底稿'!E:E,数据对照表!H7,'附表7-扣除项目明细采集底稿'!V:V,"共同成本费用")</f>
        <v>0</v>
      </c>
      <c r="J71" s="147">
        <f>SUMIFS('附表7-扣除项目明细采集底稿'!X:X,'附表7-扣除项目明细采集底稿'!E:E,数据对照表!H7,'附表7-扣除项目明细采集底稿'!V:V,"共同成本费用")</f>
        <v>0</v>
      </c>
      <c r="K71" s="147">
        <f>SUMIFS('附表7-扣除项目明细采集底稿'!Y:Y,'附表7-扣除项目明细采集底稿'!E:E,数据对照表!H7,'附表7-扣除项目明细采集底稿'!V:V,"共同成本费用")</f>
        <v>0</v>
      </c>
      <c r="L71" s="148">
        <f t="shared" si="13"/>
        <v>0</v>
      </c>
      <c r="M71" s="148">
        <f t="shared" si="14"/>
        <v>0</v>
      </c>
    </row>
    <row r="72" s="131" customFormat="1" ht="24" customHeight="1" spans="1:13">
      <c r="A72" s="146">
        <v>67</v>
      </c>
      <c r="B72" s="146"/>
      <c r="C72" s="146"/>
      <c r="D72" s="149" t="str">
        <f>数据对照表!H8</f>
        <v>劳动保护费</v>
      </c>
      <c r="E72" s="147">
        <f>SUMIFS('附表7-扣除项目明细采集底稿'!W:W,'附表7-扣除项目明细采集底稿'!E:E,数据对照表!H8,'附表7-扣除项目明细采集底稿'!V:V,"直接归集成本费用")</f>
        <v>0</v>
      </c>
      <c r="F72" s="147">
        <f>SUMIFS('附表7-扣除项目明细采集底稿'!X:X,'附表7-扣除项目明细采集底稿'!E:E,数据对照表!H8,'附表7-扣除项目明细采集底稿'!V:V,"直接归集成本费用")</f>
        <v>0</v>
      </c>
      <c r="G72" s="147">
        <f>SUMIFS('附表7-扣除项目明细采集底稿'!Y:Y,'附表7-扣除项目明细采集底稿'!E:E,数据对照表!H8,'附表7-扣除项目明细采集底稿'!V:V,"直接归集成本费用")</f>
        <v>0</v>
      </c>
      <c r="H72" s="148">
        <f t="shared" si="12"/>
        <v>0</v>
      </c>
      <c r="I72" s="147">
        <f>SUMIFS('附表7-扣除项目明细采集底稿'!W:W,'附表7-扣除项目明细采集底稿'!E:E,数据对照表!H8,'附表7-扣除项目明细采集底稿'!V:V,"共同成本费用")</f>
        <v>0</v>
      </c>
      <c r="J72" s="147">
        <f>SUMIFS('附表7-扣除项目明细采集底稿'!X:X,'附表7-扣除项目明细采集底稿'!E:E,数据对照表!H8,'附表7-扣除项目明细采集底稿'!V:V,"共同成本费用")</f>
        <v>0</v>
      </c>
      <c r="K72" s="147">
        <f>SUMIFS('附表7-扣除项目明细采集底稿'!Y:Y,'附表7-扣除项目明细采集底稿'!E:E,数据对照表!H8,'附表7-扣除项目明细采集底稿'!V:V,"共同成本费用")</f>
        <v>0</v>
      </c>
      <c r="L72" s="148">
        <f t="shared" si="13"/>
        <v>0</v>
      </c>
      <c r="M72" s="148">
        <f t="shared" si="14"/>
        <v>0</v>
      </c>
    </row>
    <row r="73" s="131" customFormat="1" ht="24" customHeight="1" spans="1:13">
      <c r="A73" s="146">
        <v>68</v>
      </c>
      <c r="B73" s="146"/>
      <c r="C73" s="146"/>
      <c r="D73" s="149" t="str">
        <f>数据对照表!H9</f>
        <v>周转房摊销费</v>
      </c>
      <c r="E73" s="147">
        <f>SUMIFS('附表7-扣除项目明细采集底稿'!W:W,'附表7-扣除项目明细采集底稿'!E:E,数据对照表!H9,'附表7-扣除项目明细采集底稿'!V:V,"直接归集成本费用")</f>
        <v>0</v>
      </c>
      <c r="F73" s="147">
        <f>SUMIFS('附表7-扣除项目明细采集底稿'!X:X,'附表7-扣除项目明细采集底稿'!E:E,数据对照表!H9,'附表7-扣除项目明细采集底稿'!V:V,"直接归集成本费用")</f>
        <v>0</v>
      </c>
      <c r="G73" s="147">
        <f>SUMIFS('附表7-扣除项目明细采集底稿'!Y:Y,'附表7-扣除项目明细采集底稿'!E:E,数据对照表!H9,'附表7-扣除项目明细采集底稿'!V:V,"直接归集成本费用")</f>
        <v>0</v>
      </c>
      <c r="H73" s="148">
        <f t="shared" si="12"/>
        <v>0</v>
      </c>
      <c r="I73" s="147">
        <f>SUMIFS('附表7-扣除项目明细采集底稿'!W:W,'附表7-扣除项目明细采集底稿'!E:E,数据对照表!H9,'附表7-扣除项目明细采集底稿'!V:V,"共同成本费用")</f>
        <v>0</v>
      </c>
      <c r="J73" s="147">
        <f>SUMIFS('附表7-扣除项目明细采集底稿'!X:X,'附表7-扣除项目明细采集底稿'!E:E,数据对照表!H9,'附表7-扣除项目明细采集底稿'!V:V,"共同成本费用")</f>
        <v>0</v>
      </c>
      <c r="K73" s="147">
        <f>SUMIFS('附表7-扣除项目明细采集底稿'!Y:Y,'附表7-扣除项目明细采集底稿'!E:E,数据对照表!H9,'附表7-扣除项目明细采集底稿'!V:V,"共同成本费用")</f>
        <v>0</v>
      </c>
      <c r="L73" s="148">
        <f t="shared" si="13"/>
        <v>0</v>
      </c>
      <c r="M73" s="148">
        <f t="shared" si="14"/>
        <v>0</v>
      </c>
    </row>
    <row r="74" s="131" customFormat="1" ht="24" customHeight="1" spans="1:13">
      <c r="A74" s="146">
        <v>69</v>
      </c>
      <c r="B74" s="146"/>
      <c r="C74" s="146"/>
      <c r="D74" s="149" t="str">
        <f>数据对照表!H10</f>
        <v>其他发生的间接费用</v>
      </c>
      <c r="E74" s="147">
        <f>SUMIFS('附表7-扣除项目明细采集底稿'!W:W,'附表7-扣除项目明细采集底稿'!E:E,数据对照表!H10,'附表7-扣除项目明细采集底稿'!V:V,"直接归集成本费用")</f>
        <v>0</v>
      </c>
      <c r="F74" s="147">
        <f>SUMIFS('附表7-扣除项目明细采集底稿'!X:X,'附表7-扣除项目明细采集底稿'!E:E,数据对照表!H10,'附表7-扣除项目明细采集底稿'!V:V,"直接归集成本费用")</f>
        <v>0</v>
      </c>
      <c r="G74" s="147">
        <f>SUMIFS('附表7-扣除项目明细采集底稿'!Y:Y,'附表7-扣除项目明细采集底稿'!E:E,数据对照表!H10,'附表7-扣除项目明细采集底稿'!V:V,"直接归集成本费用")</f>
        <v>0</v>
      </c>
      <c r="H74" s="148">
        <f t="shared" si="12"/>
        <v>0</v>
      </c>
      <c r="I74" s="147">
        <f>SUMIFS('附表7-扣除项目明细采集底稿'!W:W,'附表7-扣除项目明细采集底稿'!E:E,数据对照表!H10,'附表7-扣除项目明细采集底稿'!V:V,"共同成本费用")</f>
        <v>0</v>
      </c>
      <c r="J74" s="147">
        <f>SUMIFS('附表7-扣除项目明细采集底稿'!X:X,'附表7-扣除项目明细采集底稿'!E:E,数据对照表!H10,'附表7-扣除项目明细采集底稿'!V:V,"共同成本费用")</f>
        <v>0</v>
      </c>
      <c r="K74" s="147">
        <f>SUMIFS('附表7-扣除项目明细采集底稿'!Y:Y,'附表7-扣除项目明细采集底稿'!E:E,数据对照表!H10,'附表7-扣除项目明细采集底稿'!V:V,"共同成本费用")</f>
        <v>0</v>
      </c>
      <c r="L74" s="148">
        <f t="shared" si="13"/>
        <v>0</v>
      </c>
      <c r="M74" s="148">
        <f t="shared" si="14"/>
        <v>0</v>
      </c>
    </row>
    <row r="75" s="131" customFormat="1" ht="24" customHeight="1" spans="1:13">
      <c r="A75" s="146">
        <v>70</v>
      </c>
      <c r="B75" s="155" t="s">
        <v>112</v>
      </c>
      <c r="C75" s="156"/>
      <c r="D75" s="157"/>
      <c r="E75" s="147">
        <f>SUM(SUMIFS('附表7-扣除项目明细采集底稿'!W:W,'附表7-扣除项目明细采集底稿'!D:D,"土地征用及拆迁补偿费",'附表7-扣除项目明细采集底稿'!V:V,"直接归集成本费用",'附表7-扣除项目明细采集底稿'!AB:AB,"不可加计"),SUMIFS('附表7-扣除项目明细采集底稿'!W:W,'附表7-扣除项目明细采集底稿'!D:D,"前期工程费",'附表7-扣除项目明细采集底稿'!V:V,"直接归集成本费用",'附表7-扣除项目明细采集底稿'!AB:AB,"不可加计"),SUMIFS('附表7-扣除项目明细采集底稿'!W:W,'附表7-扣除项目明细采集底稿'!D:D,"建筑安装工程费",'附表7-扣除项目明细采集底稿'!V:V,"直接归集成本费用",'附表7-扣除项目明细采集底稿'!AB:AB,"不可加计"),SUMIFS('附表7-扣除项目明细采集底稿'!W:W,'附表7-扣除项目明细采集底稿'!D:D,"基础设施费",'附表7-扣除项目明细采集底稿'!V:V,"直接归集成本费用",'附表7-扣除项目明细采集底稿'!AB:AB,"不可加计"),SUMIFS('附表7-扣除项目明细采集底稿'!W:W,'附表7-扣除项目明细采集底稿'!D:D,"公共配套设施费",'附表7-扣除项目明细采集底稿'!V:V,"直接归集成本费用",'附表7-扣除项目明细采集底稿'!AB:AB,"不可加计"),SUMIFS('附表7-扣除项目明细采集底稿'!W:W,'附表7-扣除项目明细采集底稿'!D:D,"开发间接费用",'附表7-扣除项目明细采集底稿'!V:V,"直接归集成本费用",'附表7-扣除项目明细采集底稿'!AB:AB,"不可加计"))</f>
        <v>0</v>
      </c>
      <c r="F75" s="147">
        <f>SUM(SUMIFS('附表7-扣除项目明细采集底稿'!X:X,'附表7-扣除项目明细采集底稿'!D:D,"土地征用及拆迁补偿费",'附表7-扣除项目明细采集底稿'!V:V,"直接归集成本费用",'附表7-扣除项目明细采集底稿'!AB:AB,"不可加计"),SUMIFS('附表7-扣除项目明细采集底稿'!X:X,'附表7-扣除项目明细采集底稿'!D:D,"前期工程费",'附表7-扣除项目明细采集底稿'!V:V,"直接归集成本费用",'附表7-扣除项目明细采集底稿'!AB:AB,"不可加计"),SUMIFS('附表7-扣除项目明细采集底稿'!X:X,'附表7-扣除项目明细采集底稿'!D:D,"建筑安装工程费",'附表7-扣除项目明细采集底稿'!V:V,"直接归集成本费用",'附表7-扣除项目明细采集底稿'!AB:AB,"不可加计"),SUMIFS('附表7-扣除项目明细采集底稿'!X:X,'附表7-扣除项目明细采集底稿'!D:D,"基础设施费",'附表7-扣除项目明细采集底稿'!V:V,"直接归集成本费用",'附表7-扣除项目明细采集底稿'!AB:AB,"不可加计"),SUMIFS('附表7-扣除项目明细采集底稿'!X:X,'附表7-扣除项目明细采集底稿'!D:D,"公共配套设施费",'附表7-扣除项目明细采集底稿'!V:V,"直接归集成本费用",'附表7-扣除项目明细采集底稿'!AB:AB,"不可加计"),SUMIFS('附表7-扣除项目明细采集底稿'!X:X,'附表7-扣除项目明细采集底稿'!D:D,"开发间接费用",'附表7-扣除项目明细采集底稿'!V:V,"直接归集成本费用",'附表7-扣除项目明细采集底稿'!AB:AB,"不可加计"))</f>
        <v>0</v>
      </c>
      <c r="G75" s="147">
        <f>SUM(SUMIFS('附表7-扣除项目明细采集底稿'!Y:Y,'附表7-扣除项目明细采集底稿'!D:D,"土地征用及拆迁补偿费",'附表7-扣除项目明细采集底稿'!V:V,"直接归集成本费用",'附表7-扣除项目明细采集底稿'!AB:AB,"不可加计"),SUMIFS('附表7-扣除项目明细采集底稿'!Y:Y,'附表7-扣除项目明细采集底稿'!D:D,"前期工程费",'附表7-扣除项目明细采集底稿'!V:V,"直接归集成本费用",'附表7-扣除项目明细采集底稿'!AB:AB,"不可加计"),SUMIFS('附表7-扣除项目明细采集底稿'!Y:Y,'附表7-扣除项目明细采集底稿'!D:D,"建筑安装工程费",'附表7-扣除项目明细采集底稿'!V:V,"直接归集成本费用",'附表7-扣除项目明细采集底稿'!AB:AB,"不可加计"),SUMIFS('附表7-扣除项目明细采集底稿'!Y:Y,'附表7-扣除项目明细采集底稿'!D:D,"基础设施费",'附表7-扣除项目明细采集底稿'!V:V,"直接归集成本费用",'附表7-扣除项目明细采集底稿'!AB:AB,"不可加计"),SUMIFS('附表7-扣除项目明细采集底稿'!Y:Y,'附表7-扣除项目明细采集底稿'!D:D,"公共配套设施费",'附表7-扣除项目明细采集底稿'!V:V,"直接归集成本费用",'附表7-扣除项目明细采集底稿'!AB:AB,"不可加计"),SUMIFS('附表7-扣除项目明细采集底稿'!Y:Y,'附表7-扣除项目明细采集底稿'!D:D,"开发间接费用",'附表7-扣除项目明细采集底稿'!V:V,"直接归集成本费用",'附表7-扣除项目明细采集底稿'!AB:AB,"不可加计"))</f>
        <v>0</v>
      </c>
      <c r="H75" s="148">
        <f t="shared" ref="H75:H87" si="15">SUM(E75:G75)</f>
        <v>0</v>
      </c>
      <c r="I75" s="147">
        <f>SUM(SUMIFS('附表7-扣除项目明细采集底稿'!W:W,'附表7-扣除项目明细采集底稿'!D:D,"土地征用及拆迁补偿费",'附表7-扣除项目明细采集底稿'!V:V,"共同成本费用",'附表7-扣除项目明细采集底稿'!AB:AB,"不可加计"),SUMIFS('附表7-扣除项目明细采集底稿'!W:W,'附表7-扣除项目明细采集底稿'!D:D,"前期工程费",'附表7-扣除项目明细采集底稿'!V:V,"共同成本费用",'附表7-扣除项目明细采集底稿'!AB:AB,"不可加计"),SUMIFS('附表7-扣除项目明细采集底稿'!W:W,'附表7-扣除项目明细采集底稿'!D:D,"建筑安装工程费",'附表7-扣除项目明细采集底稿'!V:V,"共同成本费用",'附表7-扣除项目明细采集底稿'!AB:AB,"不可加计"),SUMIFS('附表7-扣除项目明细采集底稿'!W:W,'附表7-扣除项目明细采集底稿'!D:D,"基础设施费",'附表7-扣除项目明细采集底稿'!V:V,"共同成本费用",'附表7-扣除项目明细采集底稿'!AB:AB,"不可加计"),SUMIFS('附表7-扣除项目明细采集底稿'!W:W,'附表7-扣除项目明细采集底稿'!D:D,"公共配套设施费",'附表7-扣除项目明细采集底稿'!V:V,"共同成本费用",'附表7-扣除项目明细采集底稿'!AB:AB,"不可加计"),SUMIFS('附表7-扣除项目明细采集底稿'!W:W,'附表7-扣除项目明细采集底稿'!D:D,"开发间接费用",'附表7-扣除项目明细采集底稿'!V:V,"共同成本费用",'附表7-扣除项目明细采集底稿'!AB:AB,"不可加计"))</f>
        <v>0</v>
      </c>
      <c r="J75" s="147">
        <f>SUM(SUMIFS('附表7-扣除项目明细采集底稿'!X:X,'附表7-扣除项目明细采集底稿'!D:D,"土地征用及拆迁补偿费",'附表7-扣除项目明细采集底稿'!V:V,"共同成本费用",'附表7-扣除项目明细采集底稿'!AB:AB,"不可加计"),SUMIFS('附表7-扣除项目明细采集底稿'!X:X,'附表7-扣除项目明细采集底稿'!D:D,"前期工程费",'附表7-扣除项目明细采集底稿'!V:V,"共同成本费用",'附表7-扣除项目明细采集底稿'!AB:AB,"不可加计"),SUMIFS('附表7-扣除项目明细采集底稿'!X:X,'附表7-扣除项目明细采集底稿'!D:D,"建筑安装工程费",'附表7-扣除项目明细采集底稿'!V:V,"共同成本费用",'附表7-扣除项目明细采集底稿'!AB:AB,"不可加计"),SUMIFS('附表7-扣除项目明细采集底稿'!X:X,'附表7-扣除项目明细采集底稿'!D:D,"基础设施费",'附表7-扣除项目明细采集底稿'!V:V,"共同成本费用",'附表7-扣除项目明细采集底稿'!AB:AB,"不可加计"),SUMIFS('附表7-扣除项目明细采集底稿'!X:X,'附表7-扣除项目明细采集底稿'!D:D,"公共配套设施费",'附表7-扣除项目明细采集底稿'!V:V,"共同成本费用",'附表7-扣除项目明细采集底稿'!AB:AB,"不可加计"),SUMIFS('附表7-扣除项目明细采集底稿'!X:X,'附表7-扣除项目明细采集底稿'!D:D,"开发间接费用",'附表7-扣除项目明细采集底稿'!V:V,"共同成本费用",'附表7-扣除项目明细采集底稿'!AB:AB,"不可加计"))</f>
        <v>0</v>
      </c>
      <c r="K75" s="147">
        <f>SUM(SUMIFS('附表7-扣除项目明细采集底稿'!Y:Y,'附表7-扣除项目明细采集底稿'!D:D,"土地征用及拆迁补偿费",'附表7-扣除项目明细采集底稿'!V:V,"共同成本费用",'附表7-扣除项目明细采集底稿'!AB:AB,"不可加计"),SUMIFS('附表7-扣除项目明细采集底稿'!Y:Y,'附表7-扣除项目明细采集底稿'!D:D,"前期工程费",'附表7-扣除项目明细采集底稿'!V:V,"共同成本费用",'附表7-扣除项目明细采集底稿'!AB:AB,"不可加计"),SUMIFS('附表7-扣除项目明细采集底稿'!Y:Y,'附表7-扣除项目明细采集底稿'!D:D,"建筑安装工程费",'附表7-扣除项目明细采集底稿'!V:V,"共同成本费用",'附表7-扣除项目明细采集底稿'!AB:AB,"不可加计"),SUMIFS('附表7-扣除项目明细采集底稿'!Y:Y,'附表7-扣除项目明细采集底稿'!D:D,"基础设施费",'附表7-扣除项目明细采集底稿'!V:V,"共同成本费用",'附表7-扣除项目明细采集底稿'!AB:AB,"不可加计"),SUMIFS('附表7-扣除项目明细采集底稿'!Y:Y,'附表7-扣除项目明细采集底稿'!D:D,"公共配套设施费",'附表7-扣除项目明细采集底稿'!V:V,"共同成本费用",'附表7-扣除项目明细采集底稿'!AB:AB,"不可加计"),SUMIFS('附表7-扣除项目明细采集底稿'!Y:Y,'附表7-扣除项目明细采集底稿'!D:D,"开发间接费用",'附表7-扣除项目明细采集底稿'!V:V,"共同成本费用",'附表7-扣除项目明细采集底稿'!AB:AB,"不可加计"))</f>
        <v>0</v>
      </c>
      <c r="L75" s="148">
        <f t="shared" si="13"/>
        <v>0</v>
      </c>
      <c r="M75" s="148">
        <f t="shared" ref="M75:M87" si="16">H75+L75</f>
        <v>0</v>
      </c>
    </row>
    <row r="76" s="131" customFormat="1" ht="24" customHeight="1" spans="1:13">
      <c r="A76" s="146">
        <v>71</v>
      </c>
      <c r="B76" s="149" t="str">
        <f>数据对照表!I1</f>
        <v>房地产开发费用</v>
      </c>
      <c r="C76" s="149"/>
      <c r="D76" s="149"/>
      <c r="E76" s="147">
        <f>SUM(E77:E78)</f>
        <v>0</v>
      </c>
      <c r="F76" s="147">
        <f>SUM(F77:F78)</f>
        <v>0</v>
      </c>
      <c r="G76" s="147">
        <f>SUM(G77:G78)</f>
        <v>0</v>
      </c>
      <c r="H76" s="148">
        <f t="shared" si="15"/>
        <v>0</v>
      </c>
      <c r="I76" s="147">
        <f>SUM(I77:I78)</f>
        <v>0</v>
      </c>
      <c r="J76" s="147">
        <f>SUM(J77:J78)</f>
        <v>0</v>
      </c>
      <c r="K76" s="147">
        <f>SUM(K77:K78)</f>
        <v>0</v>
      </c>
      <c r="L76" s="148">
        <f t="shared" si="13"/>
        <v>0</v>
      </c>
      <c r="M76" s="148">
        <f t="shared" si="16"/>
        <v>0</v>
      </c>
    </row>
    <row r="77" s="131" customFormat="1" ht="24" customHeight="1" spans="1:13">
      <c r="A77" s="146">
        <v>72</v>
      </c>
      <c r="B77" s="146" t="s">
        <v>278</v>
      </c>
      <c r="C77" s="149" t="str">
        <f>数据对照表!I2</f>
        <v>利息支出</v>
      </c>
      <c r="D77" s="149" t="s">
        <v>280</v>
      </c>
      <c r="E77" s="147">
        <f>IF(D77="计算扣除",0,SUMIFS('附表7-扣除项目明细采集底稿'!W:W,'附表7-扣除项目明细采集底稿'!E:E,数据对照表!I2,'附表7-扣除项目明细采集底稿'!V:V,"直接归集成本费用"))</f>
        <v>0</v>
      </c>
      <c r="F77" s="147">
        <f>IF(D77="计算扣除",0,SUMIFS('附表7-扣除项目明细采集底稿'!X:X,'附表7-扣除项目明细采集底稿'!E:E,数据对照表!I2,'附表7-扣除项目明细采集底稿'!V:V,"直接归集成本费用"))</f>
        <v>0</v>
      </c>
      <c r="G77" s="147">
        <f>IF(D77="计算扣除",0,SUMIFS('附表7-扣除项目明细采集底稿'!Y:Y,'附表7-扣除项目明细采集底稿'!E:E,数据对照表!I2,'附表7-扣除项目明细采集底稿'!V:V,"直接归集成本费用"))</f>
        <v>0</v>
      </c>
      <c r="H77" s="148">
        <f t="shared" si="15"/>
        <v>0</v>
      </c>
      <c r="I77" s="147">
        <f>IF(D77="计算扣除",0,SUMIFS('附表7-扣除项目明细采集底稿'!W:W,'附表7-扣除项目明细采集底稿'!E:E,数据对照表!I2,'附表7-扣除项目明细采集底稿'!V:V,"共同成本费用"))</f>
        <v>0</v>
      </c>
      <c r="J77" s="147">
        <f>IF(D77="计算扣除",0,SUMIFS('附表7-扣除项目明细采集底稿'!X:X,'附表7-扣除项目明细采集底稿'!E:E,数据对照表!I2,'附表7-扣除项目明细采集底稿'!V:V,"共同成本费用"))</f>
        <v>0</v>
      </c>
      <c r="K77" s="147">
        <f>IF(D77="计算扣除",0,SUMIFS('附表7-扣除项目明细采集底稿'!Y:Y,'附表7-扣除项目明细采集底稿'!E:E,数据对照表!I2,'附表7-扣除项目明细采集底稿'!V:V,"共同成本费用"))</f>
        <v>0</v>
      </c>
      <c r="L77" s="148">
        <f t="shared" si="13"/>
        <v>0</v>
      </c>
      <c r="M77" s="148">
        <f t="shared" si="16"/>
        <v>0</v>
      </c>
    </row>
    <row r="78" s="131" customFormat="1" ht="24" customHeight="1" spans="1:13">
      <c r="A78" s="146">
        <v>73</v>
      </c>
      <c r="B78" s="146"/>
      <c r="C78" s="149" t="s">
        <v>281</v>
      </c>
      <c r="D78" s="149"/>
      <c r="E78" s="147">
        <f>IF($D$77="计算扣除",((E6-E10)+(E11-E75))*10%,((E6-E10)+(E11-E75))*5%)</f>
        <v>0</v>
      </c>
      <c r="F78" s="147">
        <f>IF($D$77="计算扣除",((F6-F10)+(F11-F75))*10%,((F6-F10)+(F11-F75))*5%)</f>
        <v>0</v>
      </c>
      <c r="G78" s="147">
        <f>IF($D$77="计算扣除",((G6-G10)+(G11-G75))*10%,((G6-G10)+(G11-G75))*5%)</f>
        <v>0</v>
      </c>
      <c r="H78" s="148">
        <f t="shared" si="15"/>
        <v>0</v>
      </c>
      <c r="I78" s="147">
        <f>IF($D$77="计算扣除",((I6-I10)+(I11-I75))*10%,((I6-I10)+(I11-I75))*5%)</f>
        <v>0</v>
      </c>
      <c r="J78" s="147">
        <f>IF($D$77="计算扣除",((J6-J10)+(J11-J75))*10%,((J6-J10)+(J11-J75))*5%)</f>
        <v>0</v>
      </c>
      <c r="K78" s="147">
        <f>IF($D$77="计算扣除",((K6-K10)+(K11-K75))*10%,((K6-K10)+(K11-K75))*5%)</f>
        <v>0</v>
      </c>
      <c r="L78" s="148">
        <f t="shared" si="13"/>
        <v>0</v>
      </c>
      <c r="M78" s="148">
        <f t="shared" si="16"/>
        <v>0</v>
      </c>
    </row>
    <row r="79" s="131" customFormat="1" ht="24" customHeight="1" spans="1:13">
      <c r="A79" s="146">
        <v>74</v>
      </c>
      <c r="B79" s="149" t="s">
        <v>282</v>
      </c>
      <c r="C79" s="149"/>
      <c r="D79" s="149"/>
      <c r="E79" s="147">
        <f>SUM(E80:E84)</f>
        <v>0</v>
      </c>
      <c r="F79" s="147">
        <f>SUM(F80:F84)</f>
        <v>0</v>
      </c>
      <c r="G79" s="147">
        <f>SUM(G80:G84)</f>
        <v>0</v>
      </c>
      <c r="H79" s="148">
        <f t="shared" si="15"/>
        <v>0</v>
      </c>
      <c r="I79" s="158"/>
      <c r="J79" s="158"/>
      <c r="K79" s="158"/>
      <c r="L79" s="158"/>
      <c r="M79" s="148">
        <f t="shared" si="16"/>
        <v>0</v>
      </c>
    </row>
    <row r="80" s="131" customFormat="1" ht="24" customHeight="1" spans="1:13">
      <c r="A80" s="146">
        <v>75</v>
      </c>
      <c r="B80" s="146" t="s">
        <v>278</v>
      </c>
      <c r="C80" s="149" t="s">
        <v>283</v>
      </c>
      <c r="D80" s="149"/>
      <c r="E80" s="148" t="s">
        <v>154</v>
      </c>
      <c r="F80" s="148" t="s">
        <v>154</v>
      </c>
      <c r="G80" s="148" t="s">
        <v>154</v>
      </c>
      <c r="H80" s="148">
        <f t="shared" si="15"/>
        <v>0</v>
      </c>
      <c r="I80" s="158"/>
      <c r="J80" s="158"/>
      <c r="K80" s="158"/>
      <c r="L80" s="158"/>
      <c r="M80" s="148">
        <f t="shared" si="16"/>
        <v>0</v>
      </c>
    </row>
    <row r="81" s="131" customFormat="1" ht="24" customHeight="1" spans="1:13">
      <c r="A81" s="146">
        <v>76</v>
      </c>
      <c r="B81" s="146"/>
      <c r="C81" s="149" t="s">
        <v>284</v>
      </c>
      <c r="D81" s="149"/>
      <c r="E81" s="148" t="s">
        <v>154</v>
      </c>
      <c r="F81" s="148" t="s">
        <v>154</v>
      </c>
      <c r="G81" s="148" t="s">
        <v>154</v>
      </c>
      <c r="H81" s="148">
        <f t="shared" si="15"/>
        <v>0</v>
      </c>
      <c r="I81" s="158"/>
      <c r="J81" s="158"/>
      <c r="K81" s="158"/>
      <c r="L81" s="158"/>
      <c r="M81" s="148">
        <f t="shared" si="16"/>
        <v>0</v>
      </c>
    </row>
    <row r="82" s="131" customFormat="1" ht="24" customHeight="1" spans="1:13">
      <c r="A82" s="146">
        <v>77</v>
      </c>
      <c r="B82" s="146"/>
      <c r="C82" s="149" t="s">
        <v>285</v>
      </c>
      <c r="D82" s="149"/>
      <c r="E82" s="148" t="s">
        <v>154</v>
      </c>
      <c r="F82" s="148" t="s">
        <v>154</v>
      </c>
      <c r="G82" s="148" t="s">
        <v>154</v>
      </c>
      <c r="H82" s="148">
        <f t="shared" si="15"/>
        <v>0</v>
      </c>
      <c r="I82" s="158"/>
      <c r="J82" s="158"/>
      <c r="K82" s="158"/>
      <c r="L82" s="158"/>
      <c r="M82" s="148">
        <f t="shared" si="16"/>
        <v>0</v>
      </c>
    </row>
    <row r="83" s="131" customFormat="1" ht="24" customHeight="1" spans="1:13">
      <c r="A83" s="146">
        <v>78</v>
      </c>
      <c r="B83" s="146"/>
      <c r="C83" s="149" t="s">
        <v>286</v>
      </c>
      <c r="D83" s="149"/>
      <c r="E83" s="148" t="s">
        <v>154</v>
      </c>
      <c r="F83" s="148" t="s">
        <v>154</v>
      </c>
      <c r="G83" s="148" t="s">
        <v>154</v>
      </c>
      <c r="H83" s="148">
        <f t="shared" si="15"/>
        <v>0</v>
      </c>
      <c r="I83" s="158"/>
      <c r="J83" s="158"/>
      <c r="K83" s="158"/>
      <c r="L83" s="158"/>
      <c r="M83" s="148">
        <f t="shared" si="16"/>
        <v>0</v>
      </c>
    </row>
    <row r="84" s="131" customFormat="1" ht="24" customHeight="1" spans="1:13">
      <c r="A84" s="146">
        <v>79</v>
      </c>
      <c r="B84" s="146"/>
      <c r="C84" s="149" t="s">
        <v>287</v>
      </c>
      <c r="D84" s="149"/>
      <c r="E84" s="148" t="s">
        <v>154</v>
      </c>
      <c r="F84" s="148" t="s">
        <v>154</v>
      </c>
      <c r="G84" s="148" t="s">
        <v>154</v>
      </c>
      <c r="H84" s="148">
        <f t="shared" si="15"/>
        <v>0</v>
      </c>
      <c r="I84" s="158"/>
      <c r="J84" s="158"/>
      <c r="K84" s="158"/>
      <c r="L84" s="158"/>
      <c r="M84" s="148">
        <f t="shared" si="16"/>
        <v>0</v>
      </c>
    </row>
    <row r="85" s="131" customFormat="1" ht="24" customHeight="1" spans="1:13">
      <c r="A85" s="146">
        <v>80</v>
      </c>
      <c r="B85" s="149" t="s">
        <v>288</v>
      </c>
      <c r="C85" s="149"/>
      <c r="D85" s="149"/>
      <c r="E85" s="147">
        <f>((E6-E10)+(E11-E75))*20%</f>
        <v>0</v>
      </c>
      <c r="F85" s="147">
        <f>((F6-F10)+(F11-F75))*20%</f>
        <v>0</v>
      </c>
      <c r="G85" s="147">
        <f>((G6-G10)+(G11-G75))*20%</f>
        <v>0</v>
      </c>
      <c r="H85" s="148">
        <f t="shared" si="15"/>
        <v>0</v>
      </c>
      <c r="I85" s="147">
        <f>((I6-I10)+(I11-I75))*20%</f>
        <v>0</v>
      </c>
      <c r="J85" s="147">
        <f>((J6-J10)+(J11-J75))*20%</f>
        <v>0</v>
      </c>
      <c r="K85" s="147">
        <f>((K6-K10)+(K11-K75))*20%</f>
        <v>0</v>
      </c>
      <c r="L85" s="148">
        <f t="shared" ref="L85:L87" si="17">SUM(I85:K85)</f>
        <v>0</v>
      </c>
      <c r="M85" s="148">
        <f t="shared" si="16"/>
        <v>0</v>
      </c>
    </row>
    <row r="86" s="131" customFormat="1" ht="24" customHeight="1" spans="1:13">
      <c r="A86" s="146">
        <v>81</v>
      </c>
      <c r="B86" s="149" t="s">
        <v>289</v>
      </c>
      <c r="C86" s="149"/>
      <c r="D86" s="149"/>
      <c r="E86" s="148" t="s">
        <v>154</v>
      </c>
      <c r="F86" s="148" t="s">
        <v>154</v>
      </c>
      <c r="G86" s="148" t="s">
        <v>154</v>
      </c>
      <c r="H86" s="148">
        <f t="shared" si="15"/>
        <v>0</v>
      </c>
      <c r="I86" s="148" t="s">
        <v>154</v>
      </c>
      <c r="J86" s="148" t="s">
        <v>154</v>
      </c>
      <c r="K86" s="148" t="s">
        <v>154</v>
      </c>
      <c r="L86" s="148">
        <f t="shared" si="17"/>
        <v>0</v>
      </c>
      <c r="M86" s="148">
        <f t="shared" si="16"/>
        <v>0</v>
      </c>
    </row>
    <row r="87" s="131" customFormat="1" ht="24" customHeight="1" spans="1:13">
      <c r="A87" s="146">
        <v>82</v>
      </c>
      <c r="B87" s="149" t="s">
        <v>68</v>
      </c>
      <c r="C87" s="149"/>
      <c r="D87" s="149"/>
      <c r="E87" s="147">
        <f>E6+E11+E76+E79+E85+SUM(E86)</f>
        <v>0</v>
      </c>
      <c r="F87" s="147">
        <f>F6+F11+F76+F79+F85+SUM(F86)</f>
        <v>0</v>
      </c>
      <c r="G87" s="147">
        <f>G6+G11+G76+G79+G85+SUM(G86)</f>
        <v>0</v>
      </c>
      <c r="H87" s="148">
        <f t="shared" si="15"/>
        <v>0</v>
      </c>
      <c r="I87" s="147">
        <f>I6+I11+I76+I79+I85+SUM(I86)</f>
        <v>0</v>
      </c>
      <c r="J87" s="147">
        <f>J6+J11+J76+J79+J85+SUM(J86)</f>
        <v>0</v>
      </c>
      <c r="K87" s="147">
        <f>K6+K11+K76+K79+K85+SUM(K86)</f>
        <v>0</v>
      </c>
      <c r="L87" s="148">
        <f t="shared" si="17"/>
        <v>0</v>
      </c>
      <c r="M87" s="148">
        <f t="shared" si="16"/>
        <v>0</v>
      </c>
    </row>
  </sheetData>
  <mergeCells count="41">
    <mergeCell ref="A1:M1"/>
    <mergeCell ref="A2:M2"/>
    <mergeCell ref="E3:H3"/>
    <mergeCell ref="I3:L3"/>
    <mergeCell ref="B6:D6"/>
    <mergeCell ref="C7:D7"/>
    <mergeCell ref="C8:D8"/>
    <mergeCell ref="C9:D9"/>
    <mergeCell ref="B10:D10"/>
    <mergeCell ref="B11:D11"/>
    <mergeCell ref="C12:D12"/>
    <mergeCell ref="C19:D19"/>
    <mergeCell ref="C29:D29"/>
    <mergeCell ref="C36:D36"/>
    <mergeCell ref="C48:D48"/>
    <mergeCell ref="C65:D65"/>
    <mergeCell ref="B75:D75"/>
    <mergeCell ref="B76:D76"/>
    <mergeCell ref="C78:D78"/>
    <mergeCell ref="B79:D79"/>
    <mergeCell ref="C80:D80"/>
    <mergeCell ref="C81:D81"/>
    <mergeCell ref="C82:D82"/>
    <mergeCell ref="C83:D83"/>
    <mergeCell ref="C84:D84"/>
    <mergeCell ref="B85:D85"/>
    <mergeCell ref="B86:D86"/>
    <mergeCell ref="B87:D87"/>
    <mergeCell ref="A3:A5"/>
    <mergeCell ref="B7:B9"/>
    <mergeCell ref="B12:B74"/>
    <mergeCell ref="B77:B78"/>
    <mergeCell ref="B80:B84"/>
    <mergeCell ref="C13:C18"/>
    <mergeCell ref="C20:C28"/>
    <mergeCell ref="C30:C35"/>
    <mergeCell ref="C37:C47"/>
    <mergeCell ref="C49:C64"/>
    <mergeCell ref="C66:C74"/>
    <mergeCell ref="M3:M4"/>
    <mergeCell ref="B3:D5"/>
  </mergeCells>
  <dataValidations count="2">
    <dataValidation allowBlank="1" showInputMessage="1" showErrorMessage="1" sqref="C77"/>
    <dataValidation type="list" allowBlank="1" showInputMessage="1" showErrorMessage="1" sqref="D77">
      <formula1>"据实扣除, 计算扣除"</formula1>
    </dataValidation>
  </dataValidations>
  <printOptions horizontalCentered="1"/>
  <pageMargins left="0.707638888888889" right="0.707638888888889" top="0.747916666666667" bottom="0.747916666666667" header="0.313888888888889" footer="0.313888888888889"/>
  <pageSetup paperSize="9" scale="58" fitToHeight="0" orientation="landscape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43"/>
  <sheetViews>
    <sheetView workbookViewId="0">
      <selection activeCell="C6" sqref="C6"/>
    </sheetView>
  </sheetViews>
  <sheetFormatPr defaultColWidth="5.625" defaultRowHeight="13.5"/>
  <cols>
    <col min="1" max="1" width="4.125" style="107" customWidth="1"/>
    <col min="2" max="2" width="9.25" style="107" customWidth="1"/>
    <col min="3" max="3" width="8.75" style="108" customWidth="1"/>
    <col min="4" max="5" width="8.125" style="107" customWidth="1"/>
    <col min="6" max="6" width="9.625" style="107" customWidth="1"/>
    <col min="7" max="7" width="11" style="107" customWidth="1"/>
    <col min="8" max="8" width="6.125" style="107" customWidth="1"/>
    <col min="9" max="9" width="8.125" style="107" customWidth="1"/>
    <col min="10" max="10" width="8.375" style="107" customWidth="1"/>
    <col min="11" max="11" width="7.625" style="107" customWidth="1"/>
    <col min="12" max="12" width="12" style="109" customWidth="1"/>
    <col min="13" max="13" width="8.125" style="107" customWidth="1"/>
    <col min="14" max="17" width="12" style="109" customWidth="1"/>
    <col min="18" max="18" width="5.625" style="107" customWidth="1"/>
    <col min="19" max="20" width="6.125" style="107" customWidth="1"/>
    <col min="21" max="22" width="7" style="109" customWidth="1"/>
    <col min="23" max="23" width="12" style="109" customWidth="1"/>
    <col min="24" max="24" width="9.875" style="109" customWidth="1"/>
    <col min="25" max="25" width="6.5" style="109" customWidth="1"/>
    <col min="26" max="26" width="6.5" style="107" customWidth="1"/>
    <col min="27" max="27" width="5.625" style="110" customWidth="1"/>
    <col min="28" max="16384" width="5.625" style="110"/>
  </cols>
  <sheetData>
    <row r="1" ht="22.5" spans="1:26">
      <c r="A1" s="111" t="s">
        <v>290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22"/>
      <c r="M1" s="111"/>
      <c r="N1" s="122"/>
      <c r="O1" s="122"/>
      <c r="P1" s="122"/>
      <c r="Q1" s="122"/>
      <c r="R1" s="111"/>
      <c r="S1" s="111"/>
      <c r="T1" s="111"/>
      <c r="U1" s="122"/>
      <c r="V1" s="122"/>
      <c r="W1" s="122"/>
      <c r="X1" s="122"/>
      <c r="Y1" s="122"/>
      <c r="Z1" s="111"/>
    </row>
    <row r="2" s="103" customFormat="1" ht="15" spans="1:26">
      <c r="A2" s="55" t="str">
        <f>土地增值税税源明细表!F5&amp;"："&amp;土地增值税税源明细表!H5&amp;"          "&amp;土地增值税税源明细表!A5&amp;"："&amp;土地增值税税源明细表!B5&amp;"          "&amp;"金额单位:人民币元(列至角分)"</f>
        <v>项目编码：          项目名称：          金额单位:人民币元(列至角分)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6"/>
      <c r="M2" s="55"/>
      <c r="N2" s="56"/>
      <c r="O2" s="56"/>
      <c r="P2" s="56"/>
      <c r="Q2" s="56"/>
      <c r="R2" s="55"/>
      <c r="S2" s="55"/>
      <c r="T2" s="55"/>
      <c r="U2" s="56"/>
      <c r="V2" s="56"/>
      <c r="W2" s="56"/>
      <c r="X2" s="56"/>
      <c r="Y2" s="56"/>
      <c r="Z2" s="55"/>
    </row>
    <row r="3" s="104" customFormat="1" ht="48" spans="1:26">
      <c r="A3" s="112" t="s">
        <v>24</v>
      </c>
      <c r="B3" s="113" t="s">
        <v>291</v>
      </c>
      <c r="C3" s="113" t="s">
        <v>292</v>
      </c>
      <c r="D3" s="113" t="s">
        <v>293</v>
      </c>
      <c r="E3" s="113" t="s">
        <v>294</v>
      </c>
      <c r="F3" s="113" t="s">
        <v>31</v>
      </c>
      <c r="G3" s="113" t="s">
        <v>295</v>
      </c>
      <c r="H3" s="113" t="s">
        <v>296</v>
      </c>
      <c r="I3" s="123" t="s">
        <v>297</v>
      </c>
      <c r="J3" s="113" t="s">
        <v>298</v>
      </c>
      <c r="K3" s="123" t="s">
        <v>299</v>
      </c>
      <c r="L3" s="124" t="s">
        <v>300</v>
      </c>
      <c r="M3" s="113" t="s">
        <v>301</v>
      </c>
      <c r="N3" s="124" t="s">
        <v>302</v>
      </c>
      <c r="O3" s="124" t="s">
        <v>303</v>
      </c>
      <c r="P3" s="124" t="s">
        <v>304</v>
      </c>
      <c r="Q3" s="124" t="s">
        <v>305</v>
      </c>
      <c r="R3" s="113" t="s">
        <v>306</v>
      </c>
      <c r="S3" s="113" t="s">
        <v>307</v>
      </c>
      <c r="T3" s="113" t="s">
        <v>308</v>
      </c>
      <c r="U3" s="124" t="s">
        <v>309</v>
      </c>
      <c r="V3" s="124" t="s">
        <v>310</v>
      </c>
      <c r="W3" s="124" t="s">
        <v>311</v>
      </c>
      <c r="X3" s="130" t="s">
        <v>312</v>
      </c>
      <c r="Y3" s="124" t="s">
        <v>313</v>
      </c>
      <c r="Z3" s="113" t="s">
        <v>314</v>
      </c>
    </row>
    <row r="4" s="105" customFormat="1" ht="36" spans="1:26">
      <c r="A4" s="114"/>
      <c r="B4" s="327" t="s">
        <v>195</v>
      </c>
      <c r="C4" s="327" t="s">
        <v>169</v>
      </c>
      <c r="D4" s="327" t="s">
        <v>170</v>
      </c>
      <c r="E4" s="327" t="s">
        <v>171</v>
      </c>
      <c r="F4" s="327" t="s">
        <v>203</v>
      </c>
      <c r="G4" s="327" t="s">
        <v>173</v>
      </c>
      <c r="H4" s="327" t="s">
        <v>174</v>
      </c>
      <c r="I4" s="327" t="s">
        <v>175</v>
      </c>
      <c r="J4" s="327" t="s">
        <v>182</v>
      </c>
      <c r="K4" s="327" t="s">
        <v>183</v>
      </c>
      <c r="L4" s="326" t="s">
        <v>212</v>
      </c>
      <c r="M4" s="327" t="s">
        <v>185</v>
      </c>
      <c r="N4" s="326" t="s">
        <v>315</v>
      </c>
      <c r="O4" s="326" t="s">
        <v>187</v>
      </c>
      <c r="P4" s="326" t="s">
        <v>316</v>
      </c>
      <c r="Q4" s="326" t="s">
        <v>215</v>
      </c>
      <c r="R4" s="327" t="s">
        <v>216</v>
      </c>
      <c r="S4" s="327" t="s">
        <v>217</v>
      </c>
      <c r="T4" s="327" t="s">
        <v>219</v>
      </c>
      <c r="U4" s="326" t="s">
        <v>221</v>
      </c>
      <c r="V4" s="326" t="s">
        <v>233</v>
      </c>
      <c r="W4" s="326" t="s">
        <v>317</v>
      </c>
      <c r="X4" s="326" t="s">
        <v>234</v>
      </c>
      <c r="Y4" s="326" t="s">
        <v>318</v>
      </c>
      <c r="Z4" s="327" t="s">
        <v>236</v>
      </c>
    </row>
    <row r="5" s="106" customFormat="1" ht="12" spans="1:26">
      <c r="A5" s="116"/>
      <c r="B5" s="117"/>
      <c r="C5" s="117"/>
      <c r="D5" s="116"/>
      <c r="E5" s="117"/>
      <c r="F5" s="117"/>
      <c r="G5" s="116"/>
      <c r="H5" s="116"/>
      <c r="I5" s="116"/>
      <c r="J5" s="117"/>
      <c r="K5" s="125"/>
      <c r="L5" s="126"/>
      <c r="M5" s="116"/>
      <c r="N5" s="126"/>
      <c r="O5" s="126"/>
      <c r="P5" s="127"/>
      <c r="Q5" s="127"/>
      <c r="R5" s="118"/>
      <c r="S5" s="119"/>
      <c r="T5" s="119"/>
      <c r="U5" s="127"/>
      <c r="V5" s="127"/>
      <c r="W5" s="127">
        <f>SUM(U5)+SUM(V5)</f>
        <v>0</v>
      </c>
      <c r="X5" s="127"/>
      <c r="Y5" s="127" t="str">
        <f>IF(SUM(P5)=0,"",ROUND(SUM(X5)/SUM(P5),2))</f>
        <v/>
      </c>
      <c r="Z5" s="118"/>
    </row>
    <row r="6" s="106" customFormat="1" ht="12" spans="1:26">
      <c r="A6" s="116"/>
      <c r="B6" s="117"/>
      <c r="C6" s="117"/>
      <c r="D6" s="116"/>
      <c r="E6" s="117"/>
      <c r="F6" s="117"/>
      <c r="G6" s="116"/>
      <c r="H6" s="116"/>
      <c r="I6" s="116"/>
      <c r="J6" s="117"/>
      <c r="K6" s="125"/>
      <c r="L6" s="126"/>
      <c r="M6" s="116"/>
      <c r="N6" s="126"/>
      <c r="O6" s="126"/>
      <c r="P6" s="127"/>
      <c r="Q6" s="127"/>
      <c r="R6" s="118"/>
      <c r="S6" s="119"/>
      <c r="T6" s="119"/>
      <c r="U6" s="127"/>
      <c r="V6" s="127"/>
      <c r="W6" s="127">
        <f t="shared" ref="W6:W39" si="0">SUM(U6)+SUM(V6)</f>
        <v>0</v>
      </c>
      <c r="X6" s="127"/>
      <c r="Y6" s="127" t="str">
        <f t="shared" ref="Y6:Y39" si="1">IF(SUM(P6)=0,"",ROUND(SUM(X6)/SUM(P6),2))</f>
        <v/>
      </c>
      <c r="Z6" s="118"/>
    </row>
    <row r="7" s="103" customFormat="1" ht="12" spans="1:26">
      <c r="A7" s="116"/>
      <c r="B7" s="117"/>
      <c r="C7" s="117"/>
      <c r="D7" s="116"/>
      <c r="E7" s="117"/>
      <c r="F7" s="117"/>
      <c r="G7" s="116"/>
      <c r="H7" s="116"/>
      <c r="I7" s="116"/>
      <c r="J7" s="117"/>
      <c r="K7" s="125"/>
      <c r="L7" s="126"/>
      <c r="M7" s="116"/>
      <c r="N7" s="126"/>
      <c r="O7" s="126"/>
      <c r="P7" s="127"/>
      <c r="Q7" s="127"/>
      <c r="R7" s="118"/>
      <c r="S7" s="119"/>
      <c r="T7" s="119"/>
      <c r="U7" s="127"/>
      <c r="V7" s="127"/>
      <c r="W7" s="127">
        <f t="shared" si="0"/>
        <v>0</v>
      </c>
      <c r="X7" s="127"/>
      <c r="Y7" s="127" t="str">
        <f t="shared" si="1"/>
        <v/>
      </c>
      <c r="Z7" s="118"/>
    </row>
    <row r="8" s="103" customFormat="1" ht="12" spans="1:26">
      <c r="A8" s="116"/>
      <c r="B8" s="117"/>
      <c r="C8" s="117"/>
      <c r="D8" s="116"/>
      <c r="E8" s="117"/>
      <c r="F8" s="117"/>
      <c r="G8" s="116"/>
      <c r="H8" s="116"/>
      <c r="I8" s="116"/>
      <c r="J8" s="117"/>
      <c r="K8" s="125"/>
      <c r="L8" s="126"/>
      <c r="M8" s="116"/>
      <c r="N8" s="126"/>
      <c r="O8" s="126"/>
      <c r="P8" s="127"/>
      <c r="Q8" s="127"/>
      <c r="R8" s="118"/>
      <c r="S8" s="119"/>
      <c r="T8" s="119"/>
      <c r="U8" s="127"/>
      <c r="V8" s="127"/>
      <c r="W8" s="127">
        <f t="shared" si="0"/>
        <v>0</v>
      </c>
      <c r="X8" s="127"/>
      <c r="Y8" s="127" t="str">
        <f t="shared" si="1"/>
        <v/>
      </c>
      <c r="Z8" s="118"/>
    </row>
    <row r="9" s="103" customFormat="1" ht="12" spans="1:26">
      <c r="A9" s="116"/>
      <c r="B9" s="117"/>
      <c r="C9" s="117"/>
      <c r="D9" s="116"/>
      <c r="E9" s="117"/>
      <c r="F9" s="117"/>
      <c r="G9" s="116"/>
      <c r="H9" s="116"/>
      <c r="I9" s="116"/>
      <c r="J9" s="117"/>
      <c r="K9" s="125"/>
      <c r="L9" s="126"/>
      <c r="M9" s="116"/>
      <c r="N9" s="126"/>
      <c r="O9" s="126"/>
      <c r="P9" s="127"/>
      <c r="Q9" s="127"/>
      <c r="R9" s="118"/>
      <c r="S9" s="119"/>
      <c r="T9" s="119"/>
      <c r="U9" s="127"/>
      <c r="V9" s="127"/>
      <c r="W9" s="127">
        <f t="shared" si="0"/>
        <v>0</v>
      </c>
      <c r="X9" s="127"/>
      <c r="Y9" s="127" t="str">
        <f t="shared" si="1"/>
        <v/>
      </c>
      <c r="Z9" s="118"/>
    </row>
    <row r="10" s="103" customFormat="1" ht="12" spans="1:26">
      <c r="A10" s="116"/>
      <c r="B10" s="117"/>
      <c r="C10" s="117"/>
      <c r="D10" s="116"/>
      <c r="E10" s="117"/>
      <c r="F10" s="117"/>
      <c r="G10" s="116"/>
      <c r="H10" s="116"/>
      <c r="I10" s="116"/>
      <c r="J10" s="117"/>
      <c r="K10" s="125"/>
      <c r="L10" s="126"/>
      <c r="M10" s="116"/>
      <c r="N10" s="126"/>
      <c r="O10" s="126"/>
      <c r="P10" s="127"/>
      <c r="Q10" s="127"/>
      <c r="R10" s="118"/>
      <c r="S10" s="119"/>
      <c r="T10" s="119"/>
      <c r="U10" s="127"/>
      <c r="V10" s="127"/>
      <c r="W10" s="127">
        <f t="shared" si="0"/>
        <v>0</v>
      </c>
      <c r="X10" s="127"/>
      <c r="Y10" s="127" t="str">
        <f t="shared" si="1"/>
        <v/>
      </c>
      <c r="Z10" s="118"/>
    </row>
    <row r="11" s="103" customFormat="1" ht="12" spans="1:26">
      <c r="A11" s="116"/>
      <c r="B11" s="117"/>
      <c r="C11" s="117"/>
      <c r="D11" s="116"/>
      <c r="E11" s="117"/>
      <c r="F11" s="117"/>
      <c r="G11" s="116"/>
      <c r="H11" s="116"/>
      <c r="I11" s="116"/>
      <c r="J11" s="117"/>
      <c r="K11" s="125"/>
      <c r="L11" s="126"/>
      <c r="M11" s="116"/>
      <c r="N11" s="126"/>
      <c r="O11" s="126"/>
      <c r="P11" s="127"/>
      <c r="Q11" s="127"/>
      <c r="R11" s="118"/>
      <c r="S11" s="119"/>
      <c r="T11" s="119"/>
      <c r="U11" s="127"/>
      <c r="V11" s="127"/>
      <c r="W11" s="127">
        <f t="shared" si="0"/>
        <v>0</v>
      </c>
      <c r="X11" s="127"/>
      <c r="Y11" s="127" t="str">
        <f t="shared" si="1"/>
        <v/>
      </c>
      <c r="Z11" s="118"/>
    </row>
    <row r="12" s="103" customFormat="1" ht="12" spans="1:26">
      <c r="A12" s="116"/>
      <c r="B12" s="117"/>
      <c r="C12" s="117"/>
      <c r="D12" s="116"/>
      <c r="E12" s="117"/>
      <c r="F12" s="117"/>
      <c r="G12" s="116"/>
      <c r="H12" s="116"/>
      <c r="I12" s="116"/>
      <c r="J12" s="117"/>
      <c r="K12" s="125"/>
      <c r="L12" s="126"/>
      <c r="M12" s="116"/>
      <c r="N12" s="126"/>
      <c r="O12" s="126"/>
      <c r="P12" s="127"/>
      <c r="Q12" s="127"/>
      <c r="R12" s="118"/>
      <c r="S12" s="119"/>
      <c r="T12" s="119"/>
      <c r="U12" s="127"/>
      <c r="V12" s="127"/>
      <c r="W12" s="127">
        <f t="shared" si="0"/>
        <v>0</v>
      </c>
      <c r="X12" s="127"/>
      <c r="Y12" s="127" t="str">
        <f t="shared" si="1"/>
        <v/>
      </c>
      <c r="Z12" s="118"/>
    </row>
    <row r="13" s="103" customFormat="1" ht="12" spans="1:26">
      <c r="A13" s="116"/>
      <c r="B13" s="117"/>
      <c r="C13" s="117"/>
      <c r="D13" s="116"/>
      <c r="E13" s="117"/>
      <c r="F13" s="117"/>
      <c r="G13" s="116"/>
      <c r="H13" s="116"/>
      <c r="I13" s="116"/>
      <c r="J13" s="117"/>
      <c r="K13" s="125"/>
      <c r="L13" s="126"/>
      <c r="M13" s="116"/>
      <c r="N13" s="126"/>
      <c r="O13" s="126"/>
      <c r="P13" s="127"/>
      <c r="Q13" s="127"/>
      <c r="R13" s="118"/>
      <c r="S13" s="119"/>
      <c r="T13" s="119"/>
      <c r="U13" s="127"/>
      <c r="V13" s="127"/>
      <c r="W13" s="127">
        <f t="shared" si="0"/>
        <v>0</v>
      </c>
      <c r="X13" s="127"/>
      <c r="Y13" s="127" t="str">
        <f t="shared" si="1"/>
        <v/>
      </c>
      <c r="Z13" s="118"/>
    </row>
    <row r="14" s="103" customFormat="1" ht="12" spans="1:26">
      <c r="A14" s="116"/>
      <c r="B14" s="117"/>
      <c r="C14" s="117"/>
      <c r="D14" s="116"/>
      <c r="E14" s="117"/>
      <c r="F14" s="117"/>
      <c r="G14" s="116"/>
      <c r="H14" s="116"/>
      <c r="I14" s="116"/>
      <c r="J14" s="117"/>
      <c r="K14" s="125"/>
      <c r="L14" s="126"/>
      <c r="M14" s="116"/>
      <c r="N14" s="126"/>
      <c r="O14" s="126"/>
      <c r="P14" s="127"/>
      <c r="Q14" s="127"/>
      <c r="R14" s="118"/>
      <c r="S14" s="119"/>
      <c r="T14" s="119"/>
      <c r="U14" s="127"/>
      <c r="V14" s="127"/>
      <c r="W14" s="127">
        <f t="shared" si="0"/>
        <v>0</v>
      </c>
      <c r="X14" s="127"/>
      <c r="Y14" s="127" t="str">
        <f t="shared" si="1"/>
        <v/>
      </c>
      <c r="Z14" s="118"/>
    </row>
    <row r="15" s="103" customFormat="1" ht="12" spans="1:26">
      <c r="A15" s="116"/>
      <c r="B15" s="117"/>
      <c r="C15" s="117"/>
      <c r="D15" s="116"/>
      <c r="E15" s="117"/>
      <c r="F15" s="117"/>
      <c r="G15" s="116"/>
      <c r="H15" s="116"/>
      <c r="I15" s="116"/>
      <c r="J15" s="117"/>
      <c r="K15" s="125"/>
      <c r="L15" s="126"/>
      <c r="M15" s="116"/>
      <c r="N15" s="126"/>
      <c r="O15" s="126"/>
      <c r="P15" s="127"/>
      <c r="Q15" s="127"/>
      <c r="R15" s="118"/>
      <c r="S15" s="119"/>
      <c r="T15" s="119"/>
      <c r="U15" s="127"/>
      <c r="V15" s="127"/>
      <c r="W15" s="127">
        <f t="shared" si="0"/>
        <v>0</v>
      </c>
      <c r="X15" s="127"/>
      <c r="Y15" s="127" t="str">
        <f t="shared" si="1"/>
        <v/>
      </c>
      <c r="Z15" s="118"/>
    </row>
    <row r="16" s="103" customFormat="1" ht="12" spans="1:26">
      <c r="A16" s="118"/>
      <c r="B16" s="119"/>
      <c r="C16" s="119"/>
      <c r="D16" s="118"/>
      <c r="E16" s="119"/>
      <c r="F16" s="119"/>
      <c r="G16" s="116"/>
      <c r="H16" s="118"/>
      <c r="I16" s="118"/>
      <c r="J16" s="119"/>
      <c r="K16" s="128"/>
      <c r="L16" s="127"/>
      <c r="M16" s="118"/>
      <c r="N16" s="127"/>
      <c r="O16" s="127"/>
      <c r="P16" s="127"/>
      <c r="Q16" s="127"/>
      <c r="R16" s="118"/>
      <c r="S16" s="119"/>
      <c r="T16" s="119"/>
      <c r="U16" s="127"/>
      <c r="V16" s="127"/>
      <c r="W16" s="127">
        <f t="shared" si="0"/>
        <v>0</v>
      </c>
      <c r="X16" s="127"/>
      <c r="Y16" s="127" t="str">
        <f t="shared" si="1"/>
        <v/>
      </c>
      <c r="Z16" s="118"/>
    </row>
    <row r="17" s="103" customFormat="1" ht="12" spans="1:26">
      <c r="A17" s="118"/>
      <c r="B17" s="119"/>
      <c r="C17" s="119"/>
      <c r="D17" s="118"/>
      <c r="E17" s="119"/>
      <c r="F17" s="119"/>
      <c r="G17" s="116"/>
      <c r="H17" s="118"/>
      <c r="I17" s="118"/>
      <c r="J17" s="119"/>
      <c r="K17" s="128"/>
      <c r="L17" s="127"/>
      <c r="M17" s="118"/>
      <c r="N17" s="127"/>
      <c r="O17" s="127"/>
      <c r="P17" s="127"/>
      <c r="Q17" s="127"/>
      <c r="R17" s="118"/>
      <c r="S17" s="119"/>
      <c r="T17" s="119"/>
      <c r="U17" s="127"/>
      <c r="V17" s="127"/>
      <c r="W17" s="127">
        <f t="shared" si="0"/>
        <v>0</v>
      </c>
      <c r="X17" s="127"/>
      <c r="Y17" s="127" t="str">
        <f t="shared" si="1"/>
        <v/>
      </c>
      <c r="Z17" s="118"/>
    </row>
    <row r="18" s="103" customFormat="1" ht="12" spans="1:26">
      <c r="A18" s="118"/>
      <c r="B18" s="119"/>
      <c r="C18" s="119"/>
      <c r="D18" s="118"/>
      <c r="E18" s="119"/>
      <c r="F18" s="119"/>
      <c r="G18" s="116"/>
      <c r="H18" s="118"/>
      <c r="I18" s="118"/>
      <c r="J18" s="119"/>
      <c r="K18" s="128"/>
      <c r="L18" s="127"/>
      <c r="M18" s="118"/>
      <c r="N18" s="127"/>
      <c r="O18" s="127"/>
      <c r="P18" s="127"/>
      <c r="Q18" s="127"/>
      <c r="R18" s="118"/>
      <c r="S18" s="119"/>
      <c r="T18" s="119"/>
      <c r="U18" s="127"/>
      <c r="V18" s="127"/>
      <c r="W18" s="127">
        <f t="shared" si="0"/>
        <v>0</v>
      </c>
      <c r="X18" s="127"/>
      <c r="Y18" s="127" t="str">
        <f t="shared" si="1"/>
        <v/>
      </c>
      <c r="Z18" s="118"/>
    </row>
    <row r="19" s="103" customFormat="1" ht="12" spans="1:26">
      <c r="A19" s="118"/>
      <c r="B19" s="119"/>
      <c r="C19" s="119"/>
      <c r="D19" s="118"/>
      <c r="E19" s="119"/>
      <c r="F19" s="119"/>
      <c r="G19" s="116"/>
      <c r="H19" s="118"/>
      <c r="I19" s="118"/>
      <c r="J19" s="119"/>
      <c r="K19" s="128"/>
      <c r="L19" s="127"/>
      <c r="M19" s="118"/>
      <c r="N19" s="127"/>
      <c r="O19" s="127"/>
      <c r="P19" s="127"/>
      <c r="Q19" s="127"/>
      <c r="R19" s="118"/>
      <c r="S19" s="119"/>
      <c r="T19" s="119"/>
      <c r="U19" s="127"/>
      <c r="V19" s="127"/>
      <c r="W19" s="127">
        <f t="shared" si="0"/>
        <v>0</v>
      </c>
      <c r="X19" s="127"/>
      <c r="Y19" s="127" t="str">
        <f t="shared" si="1"/>
        <v/>
      </c>
      <c r="Z19" s="118"/>
    </row>
    <row r="20" s="103" customFormat="1" ht="12" spans="1:26">
      <c r="A20" s="118"/>
      <c r="B20" s="119"/>
      <c r="C20" s="119"/>
      <c r="D20" s="118"/>
      <c r="E20" s="119"/>
      <c r="F20" s="119"/>
      <c r="G20" s="116"/>
      <c r="H20" s="118"/>
      <c r="I20" s="118"/>
      <c r="J20" s="119"/>
      <c r="K20" s="128"/>
      <c r="L20" s="127"/>
      <c r="M20" s="118"/>
      <c r="N20" s="127"/>
      <c r="O20" s="127"/>
      <c r="P20" s="127"/>
      <c r="Q20" s="127"/>
      <c r="R20" s="118"/>
      <c r="S20" s="119"/>
      <c r="T20" s="119"/>
      <c r="U20" s="127"/>
      <c r="V20" s="127"/>
      <c r="W20" s="127">
        <f t="shared" si="0"/>
        <v>0</v>
      </c>
      <c r="X20" s="127"/>
      <c r="Y20" s="127" t="str">
        <f t="shared" si="1"/>
        <v/>
      </c>
      <c r="Z20" s="118"/>
    </row>
    <row r="21" s="103" customFormat="1" ht="12" spans="1:26">
      <c r="A21" s="118"/>
      <c r="B21" s="119"/>
      <c r="C21" s="119"/>
      <c r="D21" s="118"/>
      <c r="E21" s="119"/>
      <c r="F21" s="119"/>
      <c r="G21" s="116"/>
      <c r="H21" s="118"/>
      <c r="I21" s="118"/>
      <c r="J21" s="119"/>
      <c r="K21" s="128"/>
      <c r="L21" s="127"/>
      <c r="M21" s="118"/>
      <c r="N21" s="127"/>
      <c r="O21" s="127"/>
      <c r="P21" s="127"/>
      <c r="Q21" s="127"/>
      <c r="R21" s="118"/>
      <c r="S21" s="119"/>
      <c r="T21" s="119"/>
      <c r="U21" s="127"/>
      <c r="V21" s="127"/>
      <c r="W21" s="127">
        <f t="shared" si="0"/>
        <v>0</v>
      </c>
      <c r="X21" s="127"/>
      <c r="Y21" s="127" t="str">
        <f t="shared" si="1"/>
        <v/>
      </c>
      <c r="Z21" s="118"/>
    </row>
    <row r="22" s="103" customFormat="1" ht="12" spans="1:26">
      <c r="A22" s="118"/>
      <c r="B22" s="119"/>
      <c r="C22" s="119"/>
      <c r="D22" s="118"/>
      <c r="E22" s="119"/>
      <c r="F22" s="119"/>
      <c r="G22" s="116"/>
      <c r="H22" s="118"/>
      <c r="I22" s="118"/>
      <c r="J22" s="119"/>
      <c r="K22" s="128"/>
      <c r="L22" s="127"/>
      <c r="M22" s="118"/>
      <c r="N22" s="127"/>
      <c r="O22" s="127"/>
      <c r="P22" s="127"/>
      <c r="Q22" s="127"/>
      <c r="R22" s="118"/>
      <c r="S22" s="119"/>
      <c r="T22" s="119"/>
      <c r="U22" s="127"/>
      <c r="V22" s="127"/>
      <c r="W22" s="127">
        <f t="shared" si="0"/>
        <v>0</v>
      </c>
      <c r="X22" s="127"/>
      <c r="Y22" s="127" t="str">
        <f t="shared" si="1"/>
        <v/>
      </c>
      <c r="Z22" s="118"/>
    </row>
    <row r="23" s="103" customFormat="1" ht="12" spans="1:26">
      <c r="A23" s="118"/>
      <c r="B23" s="119"/>
      <c r="C23" s="119"/>
      <c r="D23" s="118"/>
      <c r="E23" s="119"/>
      <c r="F23" s="119"/>
      <c r="G23" s="116"/>
      <c r="H23" s="118"/>
      <c r="I23" s="118"/>
      <c r="J23" s="119"/>
      <c r="K23" s="128"/>
      <c r="L23" s="127"/>
      <c r="M23" s="118"/>
      <c r="N23" s="127"/>
      <c r="O23" s="127"/>
      <c r="P23" s="127"/>
      <c r="Q23" s="127"/>
      <c r="R23" s="118"/>
      <c r="S23" s="119"/>
      <c r="T23" s="119"/>
      <c r="U23" s="127"/>
      <c r="V23" s="127"/>
      <c r="W23" s="127">
        <f t="shared" si="0"/>
        <v>0</v>
      </c>
      <c r="X23" s="127"/>
      <c r="Y23" s="127" t="str">
        <f t="shared" si="1"/>
        <v/>
      </c>
      <c r="Z23" s="118"/>
    </row>
    <row r="24" s="103" customFormat="1" ht="12" spans="1:26">
      <c r="A24" s="118"/>
      <c r="B24" s="119"/>
      <c r="C24" s="119"/>
      <c r="D24" s="118"/>
      <c r="E24" s="119"/>
      <c r="F24" s="119"/>
      <c r="G24" s="116"/>
      <c r="H24" s="118"/>
      <c r="I24" s="118"/>
      <c r="J24" s="119"/>
      <c r="K24" s="128"/>
      <c r="L24" s="127"/>
      <c r="M24" s="118"/>
      <c r="N24" s="127"/>
      <c r="O24" s="127"/>
      <c r="P24" s="127"/>
      <c r="Q24" s="127"/>
      <c r="R24" s="118"/>
      <c r="S24" s="119"/>
      <c r="T24" s="119"/>
      <c r="U24" s="127"/>
      <c r="V24" s="127"/>
      <c r="W24" s="127">
        <f t="shared" si="0"/>
        <v>0</v>
      </c>
      <c r="X24" s="127"/>
      <c r="Y24" s="127" t="str">
        <f t="shared" si="1"/>
        <v/>
      </c>
      <c r="Z24" s="118"/>
    </row>
    <row r="25" s="103" customFormat="1" ht="12" spans="1:26">
      <c r="A25" s="118"/>
      <c r="B25" s="119"/>
      <c r="C25" s="119"/>
      <c r="D25" s="118"/>
      <c r="E25" s="119"/>
      <c r="F25" s="119"/>
      <c r="G25" s="116"/>
      <c r="H25" s="118"/>
      <c r="I25" s="118"/>
      <c r="J25" s="119"/>
      <c r="K25" s="128"/>
      <c r="L25" s="127"/>
      <c r="M25" s="118"/>
      <c r="N25" s="127"/>
      <c r="O25" s="127"/>
      <c r="P25" s="127"/>
      <c r="Q25" s="127"/>
      <c r="R25" s="118"/>
      <c r="S25" s="119"/>
      <c r="T25" s="119"/>
      <c r="U25" s="127"/>
      <c r="V25" s="127"/>
      <c r="W25" s="127">
        <f t="shared" si="0"/>
        <v>0</v>
      </c>
      <c r="X25" s="127"/>
      <c r="Y25" s="127" t="str">
        <f t="shared" si="1"/>
        <v/>
      </c>
      <c r="Z25" s="118"/>
    </row>
    <row r="26" s="103" customFormat="1" ht="12" spans="1:26">
      <c r="A26" s="118"/>
      <c r="B26" s="119"/>
      <c r="C26" s="119"/>
      <c r="D26" s="118"/>
      <c r="E26" s="119"/>
      <c r="F26" s="119"/>
      <c r="G26" s="116"/>
      <c r="H26" s="118"/>
      <c r="I26" s="118"/>
      <c r="J26" s="119"/>
      <c r="K26" s="128"/>
      <c r="L26" s="127"/>
      <c r="M26" s="118"/>
      <c r="N26" s="127"/>
      <c r="O26" s="127"/>
      <c r="P26" s="127"/>
      <c r="Q26" s="127"/>
      <c r="R26" s="118"/>
      <c r="S26" s="119"/>
      <c r="T26" s="119"/>
      <c r="U26" s="127"/>
      <c r="V26" s="127"/>
      <c r="W26" s="127">
        <f t="shared" si="0"/>
        <v>0</v>
      </c>
      <c r="X26" s="127"/>
      <c r="Y26" s="127" t="str">
        <f t="shared" si="1"/>
        <v/>
      </c>
      <c r="Z26" s="118"/>
    </row>
    <row r="27" s="103" customFormat="1" ht="12" spans="1:26">
      <c r="A27" s="118"/>
      <c r="B27" s="119"/>
      <c r="C27" s="119"/>
      <c r="D27" s="118"/>
      <c r="E27" s="119"/>
      <c r="F27" s="119"/>
      <c r="G27" s="116"/>
      <c r="H27" s="118"/>
      <c r="I27" s="118"/>
      <c r="J27" s="119"/>
      <c r="K27" s="128"/>
      <c r="L27" s="127"/>
      <c r="M27" s="118"/>
      <c r="N27" s="127"/>
      <c r="O27" s="127"/>
      <c r="P27" s="127"/>
      <c r="Q27" s="127"/>
      <c r="R27" s="118"/>
      <c r="S27" s="119"/>
      <c r="T27" s="119"/>
      <c r="U27" s="127"/>
      <c r="V27" s="127"/>
      <c r="W27" s="127">
        <f t="shared" si="0"/>
        <v>0</v>
      </c>
      <c r="X27" s="127"/>
      <c r="Y27" s="127" t="str">
        <f t="shared" si="1"/>
        <v/>
      </c>
      <c r="Z27" s="118"/>
    </row>
    <row r="28" s="103" customFormat="1" ht="12" spans="1:26">
      <c r="A28" s="118"/>
      <c r="B28" s="119"/>
      <c r="C28" s="119"/>
      <c r="D28" s="118"/>
      <c r="E28" s="119"/>
      <c r="F28" s="119"/>
      <c r="G28" s="116"/>
      <c r="H28" s="118"/>
      <c r="I28" s="118"/>
      <c r="J28" s="119"/>
      <c r="K28" s="128"/>
      <c r="L28" s="127"/>
      <c r="M28" s="118"/>
      <c r="N28" s="127"/>
      <c r="O28" s="127"/>
      <c r="P28" s="127"/>
      <c r="Q28" s="127"/>
      <c r="R28" s="118"/>
      <c r="S28" s="119"/>
      <c r="T28" s="119"/>
      <c r="U28" s="127"/>
      <c r="V28" s="127"/>
      <c r="W28" s="127">
        <f t="shared" si="0"/>
        <v>0</v>
      </c>
      <c r="X28" s="127"/>
      <c r="Y28" s="127" t="str">
        <f t="shared" si="1"/>
        <v/>
      </c>
      <c r="Z28" s="118"/>
    </row>
    <row r="29" s="103" customFormat="1" ht="12" spans="1:26">
      <c r="A29" s="118"/>
      <c r="B29" s="119"/>
      <c r="C29" s="119"/>
      <c r="D29" s="118"/>
      <c r="E29" s="119"/>
      <c r="F29" s="119"/>
      <c r="G29" s="116"/>
      <c r="H29" s="118"/>
      <c r="I29" s="118"/>
      <c r="J29" s="119"/>
      <c r="K29" s="128"/>
      <c r="L29" s="127"/>
      <c r="M29" s="118"/>
      <c r="N29" s="127"/>
      <c r="O29" s="127"/>
      <c r="P29" s="127"/>
      <c r="Q29" s="127"/>
      <c r="R29" s="118"/>
      <c r="S29" s="119"/>
      <c r="T29" s="119"/>
      <c r="U29" s="127"/>
      <c r="V29" s="127"/>
      <c r="W29" s="127">
        <f t="shared" si="0"/>
        <v>0</v>
      </c>
      <c r="X29" s="127"/>
      <c r="Y29" s="127" t="str">
        <f t="shared" si="1"/>
        <v/>
      </c>
      <c r="Z29" s="118"/>
    </row>
    <row r="30" s="103" customFormat="1" ht="12" spans="1:26">
      <c r="A30" s="118"/>
      <c r="B30" s="119"/>
      <c r="C30" s="119"/>
      <c r="D30" s="118"/>
      <c r="E30" s="119"/>
      <c r="F30" s="119"/>
      <c r="G30" s="116"/>
      <c r="H30" s="118"/>
      <c r="I30" s="118"/>
      <c r="J30" s="119"/>
      <c r="K30" s="128"/>
      <c r="L30" s="127"/>
      <c r="M30" s="118"/>
      <c r="N30" s="127"/>
      <c r="O30" s="127"/>
      <c r="P30" s="127"/>
      <c r="Q30" s="127"/>
      <c r="R30" s="118"/>
      <c r="S30" s="119"/>
      <c r="T30" s="119"/>
      <c r="U30" s="127"/>
      <c r="V30" s="127"/>
      <c r="W30" s="127">
        <f t="shared" si="0"/>
        <v>0</v>
      </c>
      <c r="X30" s="127"/>
      <c r="Y30" s="127" t="str">
        <f t="shared" si="1"/>
        <v/>
      </c>
      <c r="Z30" s="118"/>
    </row>
    <row r="31" s="103" customFormat="1" ht="12" spans="1:26">
      <c r="A31" s="118"/>
      <c r="B31" s="119"/>
      <c r="C31" s="119"/>
      <c r="D31" s="118"/>
      <c r="E31" s="119"/>
      <c r="F31" s="119"/>
      <c r="G31" s="116"/>
      <c r="H31" s="118"/>
      <c r="I31" s="118"/>
      <c r="J31" s="119"/>
      <c r="K31" s="128"/>
      <c r="L31" s="127"/>
      <c r="M31" s="118"/>
      <c r="N31" s="127"/>
      <c r="O31" s="127"/>
      <c r="P31" s="127"/>
      <c r="Q31" s="127"/>
      <c r="R31" s="118"/>
      <c r="S31" s="119"/>
      <c r="T31" s="119"/>
      <c r="U31" s="127"/>
      <c r="V31" s="127"/>
      <c r="W31" s="127">
        <f t="shared" si="0"/>
        <v>0</v>
      </c>
      <c r="X31" s="127"/>
      <c r="Y31" s="127" t="str">
        <f t="shared" si="1"/>
        <v/>
      </c>
      <c r="Z31" s="118"/>
    </row>
    <row r="32" s="103" customFormat="1" ht="12" spans="1:26">
      <c r="A32" s="118"/>
      <c r="B32" s="119"/>
      <c r="C32" s="119"/>
      <c r="D32" s="118"/>
      <c r="E32" s="119"/>
      <c r="F32" s="119"/>
      <c r="G32" s="116"/>
      <c r="H32" s="118"/>
      <c r="I32" s="118"/>
      <c r="J32" s="119"/>
      <c r="K32" s="128"/>
      <c r="L32" s="127"/>
      <c r="M32" s="118"/>
      <c r="N32" s="127"/>
      <c r="O32" s="127"/>
      <c r="P32" s="127"/>
      <c r="Q32" s="127"/>
      <c r="R32" s="118"/>
      <c r="S32" s="119"/>
      <c r="T32" s="119"/>
      <c r="U32" s="127"/>
      <c r="V32" s="127"/>
      <c r="W32" s="127">
        <f t="shared" si="0"/>
        <v>0</v>
      </c>
      <c r="X32" s="127"/>
      <c r="Y32" s="127" t="str">
        <f t="shared" si="1"/>
        <v/>
      </c>
      <c r="Z32" s="118"/>
    </row>
    <row r="33" s="103" customFormat="1" ht="12" spans="1:26">
      <c r="A33" s="118"/>
      <c r="B33" s="119"/>
      <c r="C33" s="119"/>
      <c r="D33" s="118"/>
      <c r="E33" s="119"/>
      <c r="F33" s="119"/>
      <c r="G33" s="116"/>
      <c r="H33" s="118"/>
      <c r="I33" s="118"/>
      <c r="J33" s="119"/>
      <c r="K33" s="128"/>
      <c r="L33" s="127"/>
      <c r="M33" s="118"/>
      <c r="N33" s="127"/>
      <c r="O33" s="127"/>
      <c r="P33" s="127"/>
      <c r="Q33" s="127"/>
      <c r="R33" s="118"/>
      <c r="S33" s="119"/>
      <c r="T33" s="119"/>
      <c r="U33" s="127"/>
      <c r="V33" s="127"/>
      <c r="W33" s="127">
        <f t="shared" si="0"/>
        <v>0</v>
      </c>
      <c r="X33" s="127"/>
      <c r="Y33" s="127" t="str">
        <f t="shared" si="1"/>
        <v/>
      </c>
      <c r="Z33" s="118"/>
    </row>
    <row r="34" s="103" customFormat="1" ht="12" spans="1:26">
      <c r="A34" s="118"/>
      <c r="B34" s="119"/>
      <c r="C34" s="119"/>
      <c r="D34" s="118"/>
      <c r="E34" s="119"/>
      <c r="F34" s="119"/>
      <c r="G34" s="116"/>
      <c r="H34" s="118"/>
      <c r="I34" s="118"/>
      <c r="J34" s="119"/>
      <c r="K34" s="128"/>
      <c r="L34" s="127"/>
      <c r="M34" s="118"/>
      <c r="N34" s="127"/>
      <c r="O34" s="127"/>
      <c r="P34" s="127"/>
      <c r="Q34" s="127"/>
      <c r="R34" s="118"/>
      <c r="S34" s="119"/>
      <c r="T34" s="119"/>
      <c r="U34" s="127"/>
      <c r="V34" s="127"/>
      <c r="W34" s="127">
        <f t="shared" si="0"/>
        <v>0</v>
      </c>
      <c r="X34" s="127"/>
      <c r="Y34" s="127" t="str">
        <f t="shared" si="1"/>
        <v/>
      </c>
      <c r="Z34" s="118"/>
    </row>
    <row r="35" s="103" customFormat="1" ht="12" spans="1:26">
      <c r="A35" s="118"/>
      <c r="B35" s="119"/>
      <c r="C35" s="119"/>
      <c r="D35" s="118"/>
      <c r="E35" s="119"/>
      <c r="F35" s="119"/>
      <c r="G35" s="116"/>
      <c r="H35" s="118"/>
      <c r="I35" s="118"/>
      <c r="J35" s="119"/>
      <c r="K35" s="128"/>
      <c r="L35" s="127"/>
      <c r="M35" s="118"/>
      <c r="N35" s="127"/>
      <c r="O35" s="127"/>
      <c r="P35" s="127"/>
      <c r="Q35" s="127"/>
      <c r="R35" s="118"/>
      <c r="S35" s="119"/>
      <c r="T35" s="119"/>
      <c r="U35" s="127"/>
      <c r="V35" s="127"/>
      <c r="W35" s="127">
        <f t="shared" si="0"/>
        <v>0</v>
      </c>
      <c r="X35" s="127"/>
      <c r="Y35" s="127" t="str">
        <f t="shared" si="1"/>
        <v/>
      </c>
      <c r="Z35" s="118"/>
    </row>
    <row r="36" s="103" customFormat="1" ht="12" spans="1:26">
      <c r="A36" s="118"/>
      <c r="B36" s="119"/>
      <c r="C36" s="119"/>
      <c r="D36" s="118"/>
      <c r="E36" s="119"/>
      <c r="F36" s="119"/>
      <c r="G36" s="116"/>
      <c r="H36" s="118"/>
      <c r="I36" s="118"/>
      <c r="J36" s="119"/>
      <c r="K36" s="128"/>
      <c r="L36" s="127"/>
      <c r="M36" s="118"/>
      <c r="N36" s="127"/>
      <c r="O36" s="127"/>
      <c r="P36" s="127"/>
      <c r="Q36" s="127"/>
      <c r="R36" s="118"/>
      <c r="S36" s="119"/>
      <c r="T36" s="119"/>
      <c r="U36" s="127"/>
      <c r="V36" s="127"/>
      <c r="W36" s="127">
        <f t="shared" si="0"/>
        <v>0</v>
      </c>
      <c r="X36" s="127"/>
      <c r="Y36" s="127" t="str">
        <f t="shared" si="1"/>
        <v/>
      </c>
      <c r="Z36" s="118"/>
    </row>
    <row r="37" s="103" customFormat="1" ht="12" spans="1:26">
      <c r="A37" s="118"/>
      <c r="B37" s="119"/>
      <c r="C37" s="119"/>
      <c r="D37" s="118"/>
      <c r="E37" s="119"/>
      <c r="F37" s="119"/>
      <c r="G37" s="116"/>
      <c r="H37" s="118"/>
      <c r="I37" s="118"/>
      <c r="J37" s="119"/>
      <c r="K37" s="128"/>
      <c r="L37" s="127"/>
      <c r="M37" s="118"/>
      <c r="N37" s="127"/>
      <c r="O37" s="127"/>
      <c r="P37" s="127"/>
      <c r="Q37" s="127"/>
      <c r="R37" s="118"/>
      <c r="S37" s="119"/>
      <c r="T37" s="119"/>
      <c r="U37" s="127"/>
      <c r="V37" s="127"/>
      <c r="W37" s="127">
        <f t="shared" si="0"/>
        <v>0</v>
      </c>
      <c r="X37" s="127"/>
      <c r="Y37" s="127" t="str">
        <f t="shared" si="1"/>
        <v/>
      </c>
      <c r="Z37" s="118"/>
    </row>
    <row r="38" s="103" customFormat="1" ht="12" spans="1:26">
      <c r="A38" s="118"/>
      <c r="B38" s="119"/>
      <c r="C38" s="119"/>
      <c r="D38" s="118"/>
      <c r="E38" s="119"/>
      <c r="F38" s="119"/>
      <c r="G38" s="116"/>
      <c r="H38" s="118"/>
      <c r="I38" s="118"/>
      <c r="J38" s="119"/>
      <c r="K38" s="128"/>
      <c r="L38" s="127"/>
      <c r="M38" s="118"/>
      <c r="N38" s="127"/>
      <c r="O38" s="127"/>
      <c r="P38" s="127"/>
      <c r="Q38" s="127"/>
      <c r="R38" s="118"/>
      <c r="S38" s="119"/>
      <c r="T38" s="119"/>
      <c r="U38" s="127"/>
      <c r="V38" s="127"/>
      <c r="W38" s="127">
        <f t="shared" si="0"/>
        <v>0</v>
      </c>
      <c r="X38" s="127"/>
      <c r="Y38" s="127" t="str">
        <f t="shared" si="1"/>
        <v/>
      </c>
      <c r="Z38" s="118"/>
    </row>
    <row r="39" s="103" customFormat="1" ht="12" spans="1:26">
      <c r="A39" s="118"/>
      <c r="B39" s="119"/>
      <c r="C39" s="119"/>
      <c r="D39" s="118"/>
      <c r="E39" s="119"/>
      <c r="F39" s="119"/>
      <c r="G39" s="116"/>
      <c r="H39" s="118"/>
      <c r="I39" s="118"/>
      <c r="J39" s="119"/>
      <c r="K39" s="128"/>
      <c r="L39" s="127"/>
      <c r="M39" s="118"/>
      <c r="N39" s="127"/>
      <c r="O39" s="127"/>
      <c r="P39" s="127"/>
      <c r="Q39" s="127"/>
      <c r="R39" s="118"/>
      <c r="S39" s="119"/>
      <c r="T39" s="119"/>
      <c r="U39" s="127"/>
      <c r="V39" s="127"/>
      <c r="W39" s="127">
        <f t="shared" si="0"/>
        <v>0</v>
      </c>
      <c r="X39" s="127"/>
      <c r="Y39" s="127" t="str">
        <f t="shared" si="1"/>
        <v/>
      </c>
      <c r="Z39" s="118"/>
    </row>
    <row r="40" s="103" customFormat="1" ht="12" spans="1:26">
      <c r="A40" s="120"/>
      <c r="B40" s="120"/>
      <c r="C40" s="121"/>
      <c r="D40" s="120"/>
      <c r="E40" s="120"/>
      <c r="F40" s="120"/>
      <c r="G40" s="120"/>
      <c r="H40" s="120"/>
      <c r="I40" s="120"/>
      <c r="J40" s="120"/>
      <c r="K40" s="120"/>
      <c r="L40" s="129"/>
      <c r="M40" s="120"/>
      <c r="N40" s="129"/>
      <c r="O40" s="129"/>
      <c r="P40" s="129"/>
      <c r="Q40" s="129"/>
      <c r="R40" s="120"/>
      <c r="S40" s="120"/>
      <c r="T40" s="120"/>
      <c r="U40" s="129"/>
      <c r="V40" s="129"/>
      <c r="W40" s="129"/>
      <c r="X40" s="129"/>
      <c r="Y40" s="129"/>
      <c r="Z40" s="120"/>
    </row>
    <row r="41" s="103" customFormat="1" ht="12" spans="1:26">
      <c r="A41" s="120"/>
      <c r="B41" s="120"/>
      <c r="C41" s="121"/>
      <c r="D41" s="120"/>
      <c r="E41" s="120"/>
      <c r="F41" s="120"/>
      <c r="G41" s="120"/>
      <c r="H41" s="120"/>
      <c r="I41" s="120"/>
      <c r="J41" s="120"/>
      <c r="K41" s="120"/>
      <c r="L41" s="129"/>
      <c r="M41" s="120"/>
      <c r="N41" s="129"/>
      <c r="O41" s="129"/>
      <c r="P41" s="129"/>
      <c r="Q41" s="129"/>
      <c r="R41" s="120"/>
      <c r="S41" s="120"/>
      <c r="T41" s="120"/>
      <c r="U41" s="129"/>
      <c r="V41" s="129"/>
      <c r="W41" s="129"/>
      <c r="X41" s="129"/>
      <c r="Y41" s="129"/>
      <c r="Z41" s="120"/>
    </row>
    <row r="42" s="103" customFormat="1" ht="12" spans="1:26">
      <c r="A42" s="120"/>
      <c r="B42" s="120"/>
      <c r="C42" s="121"/>
      <c r="D42" s="120"/>
      <c r="E42" s="120"/>
      <c r="F42" s="120"/>
      <c r="G42" s="120"/>
      <c r="H42" s="120"/>
      <c r="I42" s="120"/>
      <c r="J42" s="120"/>
      <c r="K42" s="120"/>
      <c r="L42" s="129"/>
      <c r="M42" s="120"/>
      <c r="N42" s="129"/>
      <c r="O42" s="129"/>
      <c r="P42" s="129"/>
      <c r="Q42" s="129"/>
      <c r="R42" s="120"/>
      <c r="S42" s="120"/>
      <c r="T42" s="120"/>
      <c r="U42" s="129"/>
      <c r="V42" s="129"/>
      <c r="W42" s="129"/>
      <c r="X42" s="129"/>
      <c r="Y42" s="129"/>
      <c r="Z42" s="120"/>
    </row>
    <row r="43" s="103" customFormat="1" ht="12" spans="1:26">
      <c r="A43" s="120"/>
      <c r="B43" s="120"/>
      <c r="C43" s="121"/>
      <c r="D43" s="120"/>
      <c r="E43" s="120"/>
      <c r="F43" s="120"/>
      <c r="G43" s="120"/>
      <c r="H43" s="120"/>
      <c r="I43" s="120"/>
      <c r="J43" s="120"/>
      <c r="K43" s="120"/>
      <c r="L43" s="129"/>
      <c r="M43" s="120"/>
      <c r="N43" s="129"/>
      <c r="O43" s="129"/>
      <c r="P43" s="129"/>
      <c r="Q43" s="129"/>
      <c r="R43" s="120"/>
      <c r="S43" s="120"/>
      <c r="T43" s="120"/>
      <c r="U43" s="129"/>
      <c r="V43" s="129"/>
      <c r="W43" s="129"/>
      <c r="X43" s="129"/>
      <c r="Y43" s="129"/>
      <c r="Z43" s="120"/>
    </row>
  </sheetData>
  <mergeCells count="3">
    <mergeCell ref="A1:Z1"/>
    <mergeCell ref="A2:Z2"/>
    <mergeCell ref="A3:A4"/>
  </mergeCells>
  <dataValidations count="5">
    <dataValidation allowBlank="1" showInputMessage="1" showErrorMessage="1" sqref="G3:I3"/>
    <dataValidation type="list" allowBlank="1" showInputMessage="1" showErrorMessage="1" sqref="I5:I1048576">
      <formula1>"货币收入,实物及其他收入,视同销售收入"</formula1>
    </dataValidation>
    <dataValidation type="list" allowBlank="1" showInputMessage="1" showErrorMessage="1" sqref="G5:G1048576">
      <formula1>OFFSET(数据对照表!$A$2,,,COUNTA(数据对照表!A:A)-1,1)</formula1>
    </dataValidation>
    <dataValidation type="list" allowBlank="1" showInputMessage="1" showErrorMessage="1" sqref="H5:H1048576">
      <formula1>"已售,未售,自用,出租,不可售"</formula1>
    </dataValidation>
    <dataValidation type="list" allowBlank="1" showInputMessage="1" showErrorMessage="1" sqref="R5:R39">
      <formula1>"东,南,西,北,东南,西南,东北,西北"</formula1>
    </dataValidation>
  </dataValidations>
  <printOptions horizontalCentered="1"/>
  <pageMargins left="0.747916666666667" right="0.354166666666667" top="0.984027777777778" bottom="0.984027777777778" header="0.511805555555556" footer="0.511805555555556"/>
  <pageSetup paperSize="9" scale="63" fitToHeight="0" orientation="landscape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6"/>
  <sheetViews>
    <sheetView zoomScale="123" zoomScaleNormal="123" topLeftCell="A19" workbookViewId="0">
      <selection activeCell="S24" sqref="S24"/>
    </sheetView>
  </sheetViews>
  <sheetFormatPr defaultColWidth="4.875" defaultRowHeight="14.25"/>
  <cols>
    <col min="1" max="1" width="4.875" style="72"/>
    <col min="2" max="11" width="4.875" style="18"/>
    <col min="12" max="13" width="4.875" style="18" customWidth="1"/>
    <col min="14" max="14" width="6.5" style="73" customWidth="1"/>
    <col min="15" max="15" width="4.875" style="73"/>
    <col min="16" max="16" width="6.125" style="73" customWidth="1"/>
    <col min="17" max="17" width="4.875" style="73"/>
    <col min="18" max="18" width="8.625" style="73" customWidth="1"/>
    <col min="19" max="19" width="8.625" style="74" customWidth="1"/>
    <col min="20" max="20" width="8.375" style="73" customWidth="1"/>
    <col min="21" max="22" width="4.875" style="18"/>
    <col min="23" max="23" width="8.375" style="75" customWidth="1"/>
    <col min="24" max="24" width="12" style="75" customWidth="1"/>
    <col min="25" max="25" width="8.375" style="75" customWidth="1"/>
    <col min="26" max="16384" width="4.875" style="18"/>
  </cols>
  <sheetData>
    <row r="1" ht="22.5" spans="1:28">
      <c r="A1" s="76" t="s">
        <v>319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88"/>
      <c r="O1" s="88"/>
      <c r="P1" s="88"/>
      <c r="Q1" s="88"/>
      <c r="R1" s="88"/>
      <c r="S1" s="93"/>
      <c r="T1" s="88"/>
      <c r="U1" s="76"/>
      <c r="V1" s="76"/>
      <c r="W1" s="94"/>
      <c r="X1" s="94"/>
      <c r="Y1" s="94"/>
      <c r="Z1" s="76"/>
      <c r="AA1" s="76"/>
      <c r="AB1" s="76"/>
    </row>
    <row r="2" s="69" customFormat="1" ht="13.5" spans="1:28">
      <c r="A2" s="77" t="str">
        <f>土地增值税税源明细表!F5&amp;"："&amp;土地增值税税源明细表!H5&amp;"          "&amp;土地增值税税源明细表!A5&amp;"："&amp;土地增值税税源明细表!B5&amp;"          "&amp;"金额单位:人民币元(列至角分)"</f>
        <v>项目编码：          项目名称：          金额单位:人民币元(列至角分)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89"/>
      <c r="O2" s="89"/>
      <c r="P2" s="89"/>
      <c r="Q2" s="89"/>
      <c r="R2" s="89"/>
      <c r="S2" s="95"/>
      <c r="T2" s="89"/>
      <c r="U2" s="77"/>
      <c r="V2" s="77"/>
      <c r="W2" s="96"/>
      <c r="X2" s="96"/>
      <c r="Y2" s="96"/>
      <c r="Z2" s="77"/>
      <c r="AA2" s="77"/>
      <c r="AB2" s="77"/>
    </row>
    <row r="3" s="70" customFormat="1" ht="87" customHeight="1" spans="1:28">
      <c r="A3" s="78" t="s">
        <v>24</v>
      </c>
      <c r="B3" s="79" t="s">
        <v>320</v>
      </c>
      <c r="C3" s="79" t="s">
        <v>321</v>
      </c>
      <c r="D3" s="79" t="s">
        <v>322</v>
      </c>
      <c r="E3" s="80" t="s">
        <v>323</v>
      </c>
      <c r="F3" s="79" t="s">
        <v>324</v>
      </c>
      <c r="G3" s="79" t="s">
        <v>325</v>
      </c>
      <c r="H3" s="79" t="s">
        <v>326</v>
      </c>
      <c r="I3" s="79" t="s">
        <v>327</v>
      </c>
      <c r="J3" s="79" t="s">
        <v>328</v>
      </c>
      <c r="K3" s="82" t="s">
        <v>329</v>
      </c>
      <c r="L3" s="79" t="s">
        <v>330</v>
      </c>
      <c r="M3" s="79" t="s">
        <v>331</v>
      </c>
      <c r="N3" s="90" t="s">
        <v>332</v>
      </c>
      <c r="O3" s="90" t="s">
        <v>333</v>
      </c>
      <c r="P3" s="90" t="s">
        <v>334</v>
      </c>
      <c r="Q3" s="90" t="s">
        <v>335</v>
      </c>
      <c r="R3" s="90" t="s">
        <v>336</v>
      </c>
      <c r="S3" s="97" t="s">
        <v>337</v>
      </c>
      <c r="T3" s="90" t="s">
        <v>338</v>
      </c>
      <c r="U3" s="79" t="s">
        <v>314</v>
      </c>
      <c r="V3" s="79" t="s">
        <v>339</v>
      </c>
      <c r="W3" s="79" t="s">
        <v>340</v>
      </c>
      <c r="X3" s="79" t="s">
        <v>341</v>
      </c>
      <c r="Y3" s="79" t="s">
        <v>342</v>
      </c>
      <c r="Z3" s="79" t="s">
        <v>343</v>
      </c>
      <c r="AA3" s="79" t="s">
        <v>344</v>
      </c>
      <c r="AB3" s="79" t="s">
        <v>345</v>
      </c>
    </row>
    <row r="4" s="70" customFormat="1" ht="30" customHeight="1" spans="1:28">
      <c r="A4" s="81"/>
      <c r="B4" s="331" t="s">
        <v>195</v>
      </c>
      <c r="C4" s="331" t="s">
        <v>169</v>
      </c>
      <c r="D4" s="331" t="s">
        <v>170</v>
      </c>
      <c r="E4" s="331" t="s">
        <v>171</v>
      </c>
      <c r="F4" s="331" t="s">
        <v>203</v>
      </c>
      <c r="G4" s="331" t="s">
        <v>173</v>
      </c>
      <c r="H4" s="331" t="s">
        <v>174</v>
      </c>
      <c r="I4" s="331" t="s">
        <v>175</v>
      </c>
      <c r="J4" s="331" t="s">
        <v>182</v>
      </c>
      <c r="K4" s="331" t="s">
        <v>183</v>
      </c>
      <c r="L4" s="331" t="s">
        <v>212</v>
      </c>
      <c r="M4" s="331" t="s">
        <v>185</v>
      </c>
      <c r="N4" s="322" t="s">
        <v>186</v>
      </c>
      <c r="O4" s="322" t="s">
        <v>187</v>
      </c>
      <c r="P4" s="91">
        <v>15</v>
      </c>
      <c r="Q4" s="322" t="s">
        <v>215</v>
      </c>
      <c r="R4" s="322" t="s">
        <v>346</v>
      </c>
      <c r="S4" s="332" t="s">
        <v>347</v>
      </c>
      <c r="T4" s="322" t="s">
        <v>348</v>
      </c>
      <c r="U4" s="331" t="s">
        <v>221</v>
      </c>
      <c r="V4" s="331" t="s">
        <v>233</v>
      </c>
      <c r="W4" s="322" t="s">
        <v>223</v>
      </c>
      <c r="X4" s="322" t="s">
        <v>349</v>
      </c>
      <c r="Y4" s="322" t="s">
        <v>235</v>
      </c>
      <c r="Z4" s="331" t="s">
        <v>236</v>
      </c>
      <c r="AA4" s="331" t="s">
        <v>237</v>
      </c>
      <c r="AB4" s="331" t="s">
        <v>238</v>
      </c>
    </row>
    <row r="5" s="71" customFormat="1" ht="48" spans="1:28">
      <c r="A5" s="83">
        <v>1</v>
      </c>
      <c r="B5" s="84"/>
      <c r="C5" s="85"/>
      <c r="D5" s="86"/>
      <c r="E5" s="87"/>
      <c r="F5" s="86"/>
      <c r="G5" s="85"/>
      <c r="H5" s="86" t="str">
        <f>IF(G5="","",VLOOKUP(G5,'附表8-合同明细采集底稿'!B:I,2,0))</f>
        <v/>
      </c>
      <c r="I5" s="65" t="str">
        <f>IF(G5="","",VLOOKUP(G5,'附表8-合同明细采集底稿'!B:I,3,0))</f>
        <v/>
      </c>
      <c r="J5" s="86" t="str">
        <f>IF(G5="","",VLOOKUP(G5,'附表8-合同明细采集底稿'!B:I,4,0))</f>
        <v/>
      </c>
      <c r="K5" s="86"/>
      <c r="L5" s="85"/>
      <c r="M5" s="85"/>
      <c r="N5" s="92"/>
      <c r="O5" s="92"/>
      <c r="P5" s="92"/>
      <c r="Q5" s="92"/>
      <c r="R5" s="92">
        <f>P5+Q5</f>
        <v>0</v>
      </c>
      <c r="S5" s="98" t="str">
        <f>IF(R5=0,"",ROUND(T5/R5,6))</f>
        <v/>
      </c>
      <c r="T5" s="92"/>
      <c r="U5" s="86"/>
      <c r="V5" s="99" t="s">
        <v>275</v>
      </c>
      <c r="W5" s="100" t="str">
        <f>IF('附表1-面积统计表'!$D$29=0,"",IF(AND(V5="共同成本费用",Z5="总建筑面积法"),ROUND(T5/'附表1-面积统计表'!$D$29*'附表1-面积统计表'!$D$5,2),IF(AND(V5="共同成本费用",Z5="可售建筑面积法"),ROUND(T5/'附表1-面积统计表'!$F$29*'附表1-面积统计表'!$F$5,2),"请手工填写")))</f>
        <v/>
      </c>
      <c r="X5" s="100" t="str">
        <f>IF(SUM('附表1-面积统计表'!$D$6)=0,"",SUM(T5)-SUM(W5)-SUM(Y5))</f>
        <v/>
      </c>
      <c r="Y5" s="100">
        <f>IF(SUM('附表1-面积统计表'!$D$6)=0,SUM(T5)-SUM(W5),IF('附表1-面积统计表'!$D$29=0,"",IF(AND(V5="共同成本费用",Z5="总建筑面积法"),ROUND(T5/'附表1-面积统计表'!$D$29*'附表1-面积统计表'!$D$7,2),IF(AND(V5="共同成本费用",Z5="可售建筑面积法"),ROUND(T5/'附表1-面积统计表'!$F$29*'附表1-面积统计表'!$F$7,2),"请手工填写"))))</f>
        <v>0</v>
      </c>
      <c r="Z5" s="101" t="s">
        <v>210</v>
      </c>
      <c r="AA5" s="86"/>
      <c r="AB5" s="102" t="s">
        <v>350</v>
      </c>
    </row>
    <row r="6" ht="48" spans="1:28">
      <c r="A6" s="83">
        <v>2</v>
      </c>
      <c r="B6" s="84"/>
      <c r="C6" s="85"/>
      <c r="D6" s="86"/>
      <c r="E6" s="87"/>
      <c r="F6" s="86"/>
      <c r="G6" s="85"/>
      <c r="H6" s="86" t="str">
        <f>IF(G6="","",VLOOKUP(G6,'附表8-合同明细采集底稿'!B:I,2,0))</f>
        <v/>
      </c>
      <c r="I6" s="65" t="str">
        <f>IF(G6="","",VLOOKUP(G6,'附表8-合同明细采集底稿'!B:I,3,0))</f>
        <v/>
      </c>
      <c r="J6" s="86" t="str">
        <f>IF(G6="","",VLOOKUP(G6,'附表8-合同明细采集底稿'!B:I,4,0))</f>
        <v/>
      </c>
      <c r="K6" s="86"/>
      <c r="L6" s="85"/>
      <c r="M6" s="85"/>
      <c r="N6" s="92"/>
      <c r="O6" s="92"/>
      <c r="P6" s="92"/>
      <c r="Q6" s="92"/>
      <c r="R6" s="92">
        <f t="shared" ref="R6:R26" si="0">P6+Q6</f>
        <v>0</v>
      </c>
      <c r="S6" s="98" t="str">
        <f t="shared" ref="S6:S26" si="1">IF(R6=0,"",ROUND(T6/R6,6))</f>
        <v/>
      </c>
      <c r="T6" s="92"/>
      <c r="U6" s="86"/>
      <c r="V6" s="99" t="s">
        <v>275</v>
      </c>
      <c r="W6" s="100" t="str">
        <f>IF('附表1-面积统计表'!$D$29=0,"",IF(AND(V6="共同成本费用",Z6="总建筑面积法"),ROUND(T6/'附表1-面积统计表'!$D$29*'附表1-面积统计表'!$D$5,2),IF(AND(V6="共同成本费用",Z6="可售建筑面积法"),ROUND(T6/'附表1-面积统计表'!$F$29*'附表1-面积统计表'!$F$5,2),"请手工填写")))</f>
        <v/>
      </c>
      <c r="X6" s="100" t="str">
        <f>IF(SUM('附表1-面积统计表'!$D$6)=0,"",SUM(T6)-SUM(W6)-SUM(Y6))</f>
        <v/>
      </c>
      <c r="Y6" s="100">
        <f>IF(SUM('附表1-面积统计表'!$D$6)=0,SUM(T6)-SUM(W6),IF('附表1-面积统计表'!$D$29=0,"",IF(AND(V6="共同成本费用",Z6="总建筑面积法"),ROUND(T6/'附表1-面积统计表'!$D$29*'附表1-面积统计表'!$D$7,2),IF(AND(V6="共同成本费用",Z6="可售建筑面积法"),ROUND(T6/'附表1-面积统计表'!$F$29*'附表1-面积统计表'!$F$7,2),"请手工填写"))))</f>
        <v>0</v>
      </c>
      <c r="Z6" s="101" t="s">
        <v>210</v>
      </c>
      <c r="AA6" s="86"/>
      <c r="AB6" s="102" t="s">
        <v>350</v>
      </c>
    </row>
    <row r="7" ht="48" spans="1:28">
      <c r="A7" s="83">
        <v>3</v>
      </c>
      <c r="B7" s="84"/>
      <c r="C7" s="85"/>
      <c r="D7" s="86"/>
      <c r="E7" s="87"/>
      <c r="F7" s="86"/>
      <c r="G7" s="85"/>
      <c r="H7" s="86" t="str">
        <f>IF(G7="","",VLOOKUP(G7,'附表8-合同明细采集底稿'!B:I,2,0))</f>
        <v/>
      </c>
      <c r="I7" s="65" t="str">
        <f>IF(G7="","",VLOOKUP(G7,'附表8-合同明细采集底稿'!B:I,3,0))</f>
        <v/>
      </c>
      <c r="J7" s="86" t="str">
        <f>IF(G7="","",VLOOKUP(G7,'附表8-合同明细采集底稿'!B:I,4,0))</f>
        <v/>
      </c>
      <c r="K7" s="86"/>
      <c r="L7" s="85"/>
      <c r="M7" s="85"/>
      <c r="N7" s="92"/>
      <c r="O7" s="92"/>
      <c r="P7" s="92"/>
      <c r="Q7" s="92"/>
      <c r="R7" s="92">
        <f t="shared" si="0"/>
        <v>0</v>
      </c>
      <c r="S7" s="98" t="str">
        <f t="shared" si="1"/>
        <v/>
      </c>
      <c r="T7" s="92"/>
      <c r="U7" s="86"/>
      <c r="V7" s="99" t="s">
        <v>275</v>
      </c>
      <c r="W7" s="100" t="str">
        <f>IF('附表1-面积统计表'!$D$29=0,"",IF(AND(V7="共同成本费用",Z7="总建筑面积法"),ROUND(T7/'附表1-面积统计表'!$D$29*'附表1-面积统计表'!$D$5,2),IF(AND(V7="共同成本费用",Z7="可售建筑面积法"),ROUND(T7/'附表1-面积统计表'!$F$29*'附表1-面积统计表'!$F$5,2),"请手工填写")))</f>
        <v/>
      </c>
      <c r="X7" s="100" t="str">
        <f>IF(SUM('附表1-面积统计表'!$D$6)=0,"",SUM(T7)-SUM(W7)-SUM(Y7))</f>
        <v/>
      </c>
      <c r="Y7" s="100">
        <f>IF(SUM('附表1-面积统计表'!$D$6)=0,SUM(T7)-SUM(W7),IF('附表1-面积统计表'!$D$29=0,"",IF(AND(V7="共同成本费用",Z7="总建筑面积法"),ROUND(T7/'附表1-面积统计表'!$D$29*'附表1-面积统计表'!$D$7,2),IF(AND(V7="共同成本费用",Z7="可售建筑面积法"),ROUND(T7/'附表1-面积统计表'!$F$29*'附表1-面积统计表'!$F$7,2),"请手工填写"))))</f>
        <v>0</v>
      </c>
      <c r="Z7" s="101" t="s">
        <v>210</v>
      </c>
      <c r="AA7" s="86"/>
      <c r="AB7" s="102" t="s">
        <v>350</v>
      </c>
    </row>
    <row r="8" ht="48" spans="1:28">
      <c r="A8" s="83">
        <v>4</v>
      </c>
      <c r="B8" s="84"/>
      <c r="C8" s="85"/>
      <c r="D8" s="86"/>
      <c r="E8" s="87"/>
      <c r="F8" s="86"/>
      <c r="G8" s="85"/>
      <c r="H8" s="86" t="str">
        <f>IF(G8="","",VLOOKUP(G8,'附表8-合同明细采集底稿'!B:I,2,0))</f>
        <v/>
      </c>
      <c r="I8" s="65" t="str">
        <f>IF(G8="","",VLOOKUP(G8,'附表8-合同明细采集底稿'!B:I,3,0))</f>
        <v/>
      </c>
      <c r="J8" s="86" t="str">
        <f>IF(G8="","",VLOOKUP(G8,'附表8-合同明细采集底稿'!B:I,4,0))</f>
        <v/>
      </c>
      <c r="K8" s="86"/>
      <c r="L8" s="85"/>
      <c r="M8" s="85"/>
      <c r="N8" s="92"/>
      <c r="O8" s="92"/>
      <c r="P8" s="92"/>
      <c r="Q8" s="92"/>
      <c r="R8" s="92">
        <f t="shared" si="0"/>
        <v>0</v>
      </c>
      <c r="S8" s="98" t="str">
        <f t="shared" si="1"/>
        <v/>
      </c>
      <c r="T8" s="92"/>
      <c r="U8" s="86"/>
      <c r="V8" s="99" t="s">
        <v>275</v>
      </c>
      <c r="W8" s="100" t="str">
        <f>IF('附表1-面积统计表'!$D$29=0,"",IF(AND(V8="共同成本费用",Z8="总建筑面积法"),ROUND(T8/'附表1-面积统计表'!$D$29*'附表1-面积统计表'!$D$5,2),IF(AND(V8="共同成本费用",Z8="可售建筑面积法"),ROUND(T8/'附表1-面积统计表'!$F$29*'附表1-面积统计表'!$F$5,2),"请手工填写")))</f>
        <v/>
      </c>
      <c r="X8" s="100" t="str">
        <f>IF(SUM('附表1-面积统计表'!$D$6)=0,"",SUM(T8)-SUM(W8)-SUM(Y8))</f>
        <v/>
      </c>
      <c r="Y8" s="100">
        <f>IF(SUM('附表1-面积统计表'!$D$6)=0,SUM(T8)-SUM(W8),IF('附表1-面积统计表'!$D$29=0,"",IF(AND(V8="共同成本费用",Z8="总建筑面积法"),ROUND(T8/'附表1-面积统计表'!$D$29*'附表1-面积统计表'!$D$7,2),IF(AND(V8="共同成本费用",Z8="可售建筑面积法"),ROUND(T8/'附表1-面积统计表'!$F$29*'附表1-面积统计表'!$F$7,2),"请手工填写"))))</f>
        <v>0</v>
      </c>
      <c r="Z8" s="101" t="s">
        <v>210</v>
      </c>
      <c r="AA8" s="86"/>
      <c r="AB8" s="102" t="s">
        <v>350</v>
      </c>
    </row>
    <row r="9" ht="48" spans="1:28">
      <c r="A9" s="83">
        <v>5</v>
      </c>
      <c r="B9" s="84"/>
      <c r="C9" s="85"/>
      <c r="D9" s="86"/>
      <c r="E9" s="87"/>
      <c r="F9" s="86"/>
      <c r="G9" s="85"/>
      <c r="H9" s="86" t="str">
        <f>IF(G9="","",VLOOKUP(G9,'附表8-合同明细采集底稿'!B:I,2,0))</f>
        <v/>
      </c>
      <c r="I9" s="65" t="str">
        <f>IF(G9="","",VLOOKUP(G9,'附表8-合同明细采集底稿'!B:I,3,0))</f>
        <v/>
      </c>
      <c r="J9" s="86" t="str">
        <f>IF(G9="","",VLOOKUP(G9,'附表8-合同明细采集底稿'!B:I,4,0))</f>
        <v/>
      </c>
      <c r="K9" s="86"/>
      <c r="L9" s="85"/>
      <c r="M9" s="85"/>
      <c r="N9" s="92"/>
      <c r="O9" s="92"/>
      <c r="P9" s="92"/>
      <c r="Q9" s="92"/>
      <c r="R9" s="92">
        <f t="shared" si="0"/>
        <v>0</v>
      </c>
      <c r="S9" s="98" t="str">
        <f t="shared" si="1"/>
        <v/>
      </c>
      <c r="T9" s="92"/>
      <c r="U9" s="86"/>
      <c r="V9" s="99" t="s">
        <v>275</v>
      </c>
      <c r="W9" s="100" t="str">
        <f>IF('附表1-面积统计表'!$D$29=0,"",IF(AND(V9="共同成本费用",Z9="总建筑面积法"),ROUND(T9/'附表1-面积统计表'!$D$29*'附表1-面积统计表'!$D$5,2),IF(AND(V9="共同成本费用",Z9="可售建筑面积法"),ROUND(T9/'附表1-面积统计表'!$F$29*'附表1-面积统计表'!$F$5,2),"请手工填写")))</f>
        <v/>
      </c>
      <c r="X9" s="100" t="str">
        <f>IF(SUM('附表1-面积统计表'!$D$6)=0,"",SUM(T9)-SUM(W9)-SUM(Y9))</f>
        <v/>
      </c>
      <c r="Y9" s="100">
        <f>IF(SUM('附表1-面积统计表'!$D$6)=0,SUM(T9)-SUM(W9),IF('附表1-面积统计表'!$D$29=0,"",IF(AND(V9="共同成本费用",Z9="总建筑面积法"),ROUND(T9/'附表1-面积统计表'!$D$29*'附表1-面积统计表'!$D$7,2),IF(AND(V9="共同成本费用",Z9="可售建筑面积法"),ROUND(T9/'附表1-面积统计表'!$F$29*'附表1-面积统计表'!$F$7,2),"请手工填写"))))</f>
        <v>0</v>
      </c>
      <c r="Z9" s="101" t="s">
        <v>210</v>
      </c>
      <c r="AA9" s="86"/>
      <c r="AB9" s="102" t="s">
        <v>350</v>
      </c>
    </row>
    <row r="10" ht="48" spans="1:28">
      <c r="A10" s="83">
        <v>6</v>
      </c>
      <c r="B10" s="84"/>
      <c r="C10" s="85"/>
      <c r="D10" s="86"/>
      <c r="E10" s="87"/>
      <c r="F10" s="86"/>
      <c r="G10" s="85"/>
      <c r="H10" s="86" t="str">
        <f>IF(G10="","",VLOOKUP(G10,'附表8-合同明细采集底稿'!B:I,2,0))</f>
        <v/>
      </c>
      <c r="I10" s="65" t="str">
        <f>IF(G10="","",VLOOKUP(G10,'附表8-合同明细采集底稿'!B:I,3,0))</f>
        <v/>
      </c>
      <c r="J10" s="86" t="str">
        <f>IF(G10="","",VLOOKUP(G10,'附表8-合同明细采集底稿'!B:I,4,0))</f>
        <v/>
      </c>
      <c r="K10" s="86"/>
      <c r="L10" s="85"/>
      <c r="M10" s="85"/>
      <c r="N10" s="92"/>
      <c r="O10" s="92"/>
      <c r="P10" s="92"/>
      <c r="Q10" s="92"/>
      <c r="R10" s="92">
        <f t="shared" si="0"/>
        <v>0</v>
      </c>
      <c r="S10" s="98" t="str">
        <f t="shared" si="1"/>
        <v/>
      </c>
      <c r="T10" s="92"/>
      <c r="U10" s="86"/>
      <c r="V10" s="99" t="s">
        <v>275</v>
      </c>
      <c r="W10" s="100" t="str">
        <f>IF('附表1-面积统计表'!$D$29=0,"",IF(AND(V10="共同成本费用",Z10="总建筑面积法"),ROUND(T10/'附表1-面积统计表'!$D$29*'附表1-面积统计表'!$D$5,2),IF(AND(V10="共同成本费用",Z10="可售建筑面积法"),ROUND(T10/'附表1-面积统计表'!$F$29*'附表1-面积统计表'!$F$5,2),"请手工填写")))</f>
        <v/>
      </c>
      <c r="X10" s="100" t="str">
        <f>IF(SUM('附表1-面积统计表'!$D$6)=0,"",SUM(T10)-SUM(W10)-SUM(Y10))</f>
        <v/>
      </c>
      <c r="Y10" s="100">
        <f>IF(SUM('附表1-面积统计表'!$D$6)=0,SUM(T10)-SUM(W10),IF('附表1-面积统计表'!$D$29=0,"",IF(AND(V10="共同成本费用",Z10="总建筑面积法"),ROUND(T10/'附表1-面积统计表'!$D$29*'附表1-面积统计表'!$D$7,2),IF(AND(V10="共同成本费用",Z10="可售建筑面积法"),ROUND(T10/'附表1-面积统计表'!$F$29*'附表1-面积统计表'!$F$7,2),"请手工填写"))))</f>
        <v>0</v>
      </c>
      <c r="Z10" s="101" t="s">
        <v>210</v>
      </c>
      <c r="AA10" s="86"/>
      <c r="AB10" s="102" t="s">
        <v>350</v>
      </c>
    </row>
    <row r="11" ht="48" spans="1:28">
      <c r="A11" s="83">
        <v>7</v>
      </c>
      <c r="B11" s="84"/>
      <c r="C11" s="85"/>
      <c r="D11" s="86"/>
      <c r="E11" s="87"/>
      <c r="F11" s="86"/>
      <c r="G11" s="85"/>
      <c r="H11" s="86" t="str">
        <f>IF(G11="","",VLOOKUP(G11,'附表8-合同明细采集底稿'!B:I,2,0))</f>
        <v/>
      </c>
      <c r="I11" s="65" t="str">
        <f>IF(G11="","",VLOOKUP(G11,'附表8-合同明细采集底稿'!B:I,3,0))</f>
        <v/>
      </c>
      <c r="J11" s="86" t="str">
        <f>IF(G11="","",VLOOKUP(G11,'附表8-合同明细采集底稿'!B:I,4,0))</f>
        <v/>
      </c>
      <c r="K11" s="86"/>
      <c r="L11" s="85"/>
      <c r="M11" s="85"/>
      <c r="N11" s="92"/>
      <c r="O11" s="92"/>
      <c r="P11" s="92"/>
      <c r="Q11" s="92"/>
      <c r="R11" s="92">
        <f t="shared" si="0"/>
        <v>0</v>
      </c>
      <c r="S11" s="98" t="str">
        <f t="shared" si="1"/>
        <v/>
      </c>
      <c r="T11" s="92"/>
      <c r="U11" s="86"/>
      <c r="V11" s="99" t="s">
        <v>275</v>
      </c>
      <c r="W11" s="100" t="str">
        <f>IF('附表1-面积统计表'!$D$29=0,"",IF(AND(V11="共同成本费用",Z11="总建筑面积法"),ROUND(T11/'附表1-面积统计表'!$D$29*'附表1-面积统计表'!$D$5,2),IF(AND(V11="共同成本费用",Z11="可售建筑面积法"),ROUND(T11/'附表1-面积统计表'!$F$29*'附表1-面积统计表'!$F$5,2),"请手工填写")))</f>
        <v/>
      </c>
      <c r="X11" s="100" t="str">
        <f>IF(SUM('附表1-面积统计表'!$D$6)=0,"",SUM(T11)-SUM(W11)-SUM(Y11))</f>
        <v/>
      </c>
      <c r="Y11" s="100">
        <f>IF(SUM('附表1-面积统计表'!$D$6)=0,SUM(T11)-SUM(W11),IF('附表1-面积统计表'!$D$29=0,"",IF(AND(V11="共同成本费用",Z11="总建筑面积法"),ROUND(T11/'附表1-面积统计表'!$D$29*'附表1-面积统计表'!$D$7,2),IF(AND(V11="共同成本费用",Z11="可售建筑面积法"),ROUND(T11/'附表1-面积统计表'!$F$29*'附表1-面积统计表'!$F$7,2),"请手工填写"))))</f>
        <v>0</v>
      </c>
      <c r="Z11" s="101" t="s">
        <v>210</v>
      </c>
      <c r="AA11" s="86"/>
      <c r="AB11" s="102" t="s">
        <v>350</v>
      </c>
    </row>
    <row r="12" ht="48" spans="1:28">
      <c r="A12" s="83">
        <v>8</v>
      </c>
      <c r="B12" s="84"/>
      <c r="C12" s="85"/>
      <c r="D12" s="86"/>
      <c r="E12" s="87"/>
      <c r="F12" s="86"/>
      <c r="G12" s="85"/>
      <c r="H12" s="86" t="str">
        <f>IF(G12="","",VLOOKUP(G12,'附表8-合同明细采集底稿'!B:I,2,0))</f>
        <v/>
      </c>
      <c r="I12" s="65" t="str">
        <f>IF(G12="","",VLOOKUP(G12,'附表8-合同明细采集底稿'!B:I,3,0))</f>
        <v/>
      </c>
      <c r="J12" s="86" t="str">
        <f>IF(G12="","",VLOOKUP(G12,'附表8-合同明细采集底稿'!B:I,4,0))</f>
        <v/>
      </c>
      <c r="K12" s="86"/>
      <c r="L12" s="85"/>
      <c r="M12" s="85"/>
      <c r="N12" s="92"/>
      <c r="O12" s="92"/>
      <c r="P12" s="92"/>
      <c r="Q12" s="92"/>
      <c r="R12" s="92">
        <f t="shared" si="0"/>
        <v>0</v>
      </c>
      <c r="S12" s="98" t="str">
        <f t="shared" si="1"/>
        <v/>
      </c>
      <c r="T12" s="92"/>
      <c r="U12" s="86"/>
      <c r="V12" s="99" t="s">
        <v>275</v>
      </c>
      <c r="W12" s="100" t="str">
        <f>IF('附表1-面积统计表'!$D$29=0,"",IF(AND(V12="共同成本费用",Z12="总建筑面积法"),ROUND(T12/'附表1-面积统计表'!$D$29*'附表1-面积统计表'!$D$5,2),IF(AND(V12="共同成本费用",Z12="可售建筑面积法"),ROUND(T12/'附表1-面积统计表'!$F$29*'附表1-面积统计表'!$F$5,2),"请手工填写")))</f>
        <v/>
      </c>
      <c r="X12" s="100" t="str">
        <f>IF(SUM('附表1-面积统计表'!$D$6)=0,"",SUM(T12)-SUM(W12)-SUM(Y12))</f>
        <v/>
      </c>
      <c r="Y12" s="100">
        <f>IF(SUM('附表1-面积统计表'!$D$6)=0,SUM(T12)-SUM(W12),IF('附表1-面积统计表'!$D$29=0,"",IF(AND(V12="共同成本费用",Z12="总建筑面积法"),ROUND(T12/'附表1-面积统计表'!$D$29*'附表1-面积统计表'!$D$7,2),IF(AND(V12="共同成本费用",Z12="可售建筑面积法"),ROUND(T12/'附表1-面积统计表'!$F$29*'附表1-面积统计表'!$F$7,2),"请手工填写"))))</f>
        <v>0</v>
      </c>
      <c r="Z12" s="101" t="s">
        <v>210</v>
      </c>
      <c r="AA12" s="86"/>
      <c r="AB12" s="102" t="s">
        <v>350</v>
      </c>
    </row>
    <row r="13" ht="48" spans="1:28">
      <c r="A13" s="83">
        <v>9</v>
      </c>
      <c r="B13" s="84"/>
      <c r="C13" s="85"/>
      <c r="D13" s="86"/>
      <c r="E13" s="87"/>
      <c r="F13" s="86"/>
      <c r="G13" s="85"/>
      <c r="H13" s="86" t="str">
        <f>IF(G13="","",VLOOKUP(G13,'附表8-合同明细采集底稿'!B:I,2,0))</f>
        <v/>
      </c>
      <c r="I13" s="65" t="str">
        <f>IF(G13="","",VLOOKUP(G13,'附表8-合同明细采集底稿'!B:I,3,0))</f>
        <v/>
      </c>
      <c r="J13" s="86" t="str">
        <f>IF(G13="","",VLOOKUP(G13,'附表8-合同明细采集底稿'!B:I,4,0))</f>
        <v/>
      </c>
      <c r="K13" s="86"/>
      <c r="L13" s="85"/>
      <c r="M13" s="85"/>
      <c r="N13" s="92"/>
      <c r="O13" s="92"/>
      <c r="P13" s="92"/>
      <c r="Q13" s="92"/>
      <c r="R13" s="92">
        <f t="shared" si="0"/>
        <v>0</v>
      </c>
      <c r="S13" s="98" t="str">
        <f t="shared" si="1"/>
        <v/>
      </c>
      <c r="T13" s="92"/>
      <c r="U13" s="86"/>
      <c r="V13" s="99" t="s">
        <v>275</v>
      </c>
      <c r="W13" s="100" t="str">
        <f>IF('附表1-面积统计表'!$D$29=0,"",IF(AND(V13="共同成本费用",Z13="总建筑面积法"),ROUND(T13/'附表1-面积统计表'!$D$29*'附表1-面积统计表'!$D$5,2),IF(AND(V13="共同成本费用",Z13="可售建筑面积法"),ROUND(T13/'附表1-面积统计表'!$F$29*'附表1-面积统计表'!$F$5,2),"请手工填写")))</f>
        <v/>
      </c>
      <c r="X13" s="100" t="str">
        <f>IF(SUM('附表1-面积统计表'!$D$6)=0,"",SUM(T13)-SUM(W13)-SUM(Y13))</f>
        <v/>
      </c>
      <c r="Y13" s="100">
        <f>IF(SUM('附表1-面积统计表'!$D$6)=0,SUM(T13)-SUM(W13),IF('附表1-面积统计表'!$D$29=0,"",IF(AND(V13="共同成本费用",Z13="总建筑面积法"),ROUND(T13/'附表1-面积统计表'!$D$29*'附表1-面积统计表'!$D$7,2),IF(AND(V13="共同成本费用",Z13="可售建筑面积法"),ROUND(T13/'附表1-面积统计表'!$F$29*'附表1-面积统计表'!$F$7,2),"请手工填写"))))</f>
        <v>0</v>
      </c>
      <c r="Z13" s="101" t="s">
        <v>210</v>
      </c>
      <c r="AA13" s="86"/>
      <c r="AB13" s="102" t="s">
        <v>350</v>
      </c>
    </row>
    <row r="14" ht="48" spans="1:28">
      <c r="A14" s="83">
        <v>10</v>
      </c>
      <c r="B14" s="84"/>
      <c r="C14" s="85"/>
      <c r="D14" s="86"/>
      <c r="E14" s="87"/>
      <c r="F14" s="86"/>
      <c r="G14" s="85"/>
      <c r="H14" s="86" t="str">
        <f>IF(G14="","",VLOOKUP(G14,'附表8-合同明细采集底稿'!B:I,2,0))</f>
        <v/>
      </c>
      <c r="I14" s="65" t="str">
        <f>IF(G14="","",VLOOKUP(G14,'附表8-合同明细采集底稿'!B:I,3,0))</f>
        <v/>
      </c>
      <c r="J14" s="86" t="str">
        <f>IF(G14="","",VLOOKUP(G14,'附表8-合同明细采集底稿'!B:I,4,0))</f>
        <v/>
      </c>
      <c r="K14" s="86"/>
      <c r="L14" s="85"/>
      <c r="M14" s="85"/>
      <c r="N14" s="92"/>
      <c r="O14" s="92"/>
      <c r="P14" s="92"/>
      <c r="Q14" s="92"/>
      <c r="R14" s="92">
        <f t="shared" si="0"/>
        <v>0</v>
      </c>
      <c r="S14" s="98" t="str">
        <f t="shared" si="1"/>
        <v/>
      </c>
      <c r="T14" s="92"/>
      <c r="U14" s="86"/>
      <c r="V14" s="99" t="s">
        <v>275</v>
      </c>
      <c r="W14" s="100" t="str">
        <f>IF('附表1-面积统计表'!$D$29=0,"",IF(AND(V14="共同成本费用",Z14="总建筑面积法"),ROUND(T14/'附表1-面积统计表'!$D$29*'附表1-面积统计表'!$D$5,2),IF(AND(V14="共同成本费用",Z14="可售建筑面积法"),ROUND(T14/'附表1-面积统计表'!$F$29*'附表1-面积统计表'!$F$5,2),"请手工填写")))</f>
        <v/>
      </c>
      <c r="X14" s="100" t="str">
        <f>IF(SUM('附表1-面积统计表'!$D$6)=0,"",SUM(T14)-SUM(W14)-SUM(Y14))</f>
        <v/>
      </c>
      <c r="Y14" s="100">
        <f>IF(SUM('附表1-面积统计表'!$D$6)=0,SUM(T14)-SUM(W14),IF('附表1-面积统计表'!$D$29=0,"",IF(AND(V14="共同成本费用",Z14="总建筑面积法"),ROUND(T14/'附表1-面积统计表'!$D$29*'附表1-面积统计表'!$D$7,2),IF(AND(V14="共同成本费用",Z14="可售建筑面积法"),ROUND(T14/'附表1-面积统计表'!$F$29*'附表1-面积统计表'!$F$7,2),"请手工填写"))))</f>
        <v>0</v>
      </c>
      <c r="Z14" s="101" t="s">
        <v>210</v>
      </c>
      <c r="AA14" s="86"/>
      <c r="AB14" s="102" t="s">
        <v>350</v>
      </c>
    </row>
    <row r="15" ht="48" spans="1:28">
      <c r="A15" s="83">
        <v>11</v>
      </c>
      <c r="B15" s="84"/>
      <c r="C15" s="85"/>
      <c r="D15" s="86"/>
      <c r="E15" s="87"/>
      <c r="F15" s="86"/>
      <c r="G15" s="85"/>
      <c r="H15" s="86" t="str">
        <f>IF(G15="","",VLOOKUP(G15,'附表8-合同明细采集底稿'!B:I,2,0))</f>
        <v/>
      </c>
      <c r="I15" s="65" t="str">
        <f>IF(G15="","",VLOOKUP(G15,'附表8-合同明细采集底稿'!B:I,3,0))</f>
        <v/>
      </c>
      <c r="J15" s="86" t="str">
        <f>IF(G15="","",VLOOKUP(G15,'附表8-合同明细采集底稿'!B:I,4,0))</f>
        <v/>
      </c>
      <c r="K15" s="86"/>
      <c r="L15" s="85"/>
      <c r="M15" s="85"/>
      <c r="N15" s="92"/>
      <c r="O15" s="92"/>
      <c r="P15" s="92"/>
      <c r="Q15" s="92"/>
      <c r="R15" s="92">
        <f t="shared" si="0"/>
        <v>0</v>
      </c>
      <c r="S15" s="98" t="str">
        <f t="shared" si="1"/>
        <v/>
      </c>
      <c r="T15" s="92"/>
      <c r="U15" s="86"/>
      <c r="V15" s="99" t="s">
        <v>275</v>
      </c>
      <c r="W15" s="100" t="str">
        <f>IF('附表1-面积统计表'!$D$29=0,"",IF(AND(V15="共同成本费用",Z15="总建筑面积法"),ROUND(T15/'附表1-面积统计表'!$D$29*'附表1-面积统计表'!$D$5,2),IF(AND(V15="共同成本费用",Z15="可售建筑面积法"),ROUND(T15/'附表1-面积统计表'!$F$29*'附表1-面积统计表'!$F$5,2),"请手工填写")))</f>
        <v/>
      </c>
      <c r="X15" s="100" t="str">
        <f>IF(SUM('附表1-面积统计表'!$D$6)=0,"",SUM(T15)-SUM(W15)-SUM(Y15))</f>
        <v/>
      </c>
      <c r="Y15" s="100">
        <f>IF(SUM('附表1-面积统计表'!$D$6)=0,SUM(T15)-SUM(W15),IF('附表1-面积统计表'!$D$29=0,"",IF(AND(V15="共同成本费用",Z15="总建筑面积法"),ROUND(T15/'附表1-面积统计表'!$D$29*'附表1-面积统计表'!$D$7,2),IF(AND(V15="共同成本费用",Z15="可售建筑面积法"),ROUND(T15/'附表1-面积统计表'!$F$29*'附表1-面积统计表'!$F$7,2),"请手工填写"))))</f>
        <v>0</v>
      </c>
      <c r="Z15" s="101" t="s">
        <v>210</v>
      </c>
      <c r="AA15" s="86"/>
      <c r="AB15" s="102" t="s">
        <v>350</v>
      </c>
    </row>
    <row r="16" ht="48" spans="1:28">
      <c r="A16" s="83">
        <v>12</v>
      </c>
      <c r="B16" s="84"/>
      <c r="C16" s="85"/>
      <c r="D16" s="86"/>
      <c r="E16" s="87"/>
      <c r="F16" s="86"/>
      <c r="G16" s="85"/>
      <c r="H16" s="86" t="str">
        <f>IF(G16="","",VLOOKUP(G16,'附表8-合同明细采集底稿'!B:I,2,0))</f>
        <v/>
      </c>
      <c r="I16" s="65" t="str">
        <f>IF(G16="","",VLOOKUP(G16,'附表8-合同明细采集底稿'!B:I,3,0))</f>
        <v/>
      </c>
      <c r="J16" s="86" t="str">
        <f>IF(G16="","",VLOOKUP(G16,'附表8-合同明细采集底稿'!B:I,4,0))</f>
        <v/>
      </c>
      <c r="K16" s="86"/>
      <c r="L16" s="85"/>
      <c r="M16" s="85"/>
      <c r="N16" s="92"/>
      <c r="O16" s="92"/>
      <c r="P16" s="92"/>
      <c r="Q16" s="92"/>
      <c r="R16" s="92">
        <f t="shared" si="0"/>
        <v>0</v>
      </c>
      <c r="S16" s="98" t="str">
        <f t="shared" si="1"/>
        <v/>
      </c>
      <c r="T16" s="92"/>
      <c r="U16" s="86"/>
      <c r="V16" s="99" t="s">
        <v>275</v>
      </c>
      <c r="W16" s="100" t="str">
        <f>IF('附表1-面积统计表'!$D$29=0,"",IF(AND(V16="共同成本费用",Z16="总建筑面积法"),ROUND(T16/'附表1-面积统计表'!$D$29*'附表1-面积统计表'!$D$5,2),IF(AND(V16="共同成本费用",Z16="可售建筑面积法"),ROUND(T16/'附表1-面积统计表'!$F$29*'附表1-面积统计表'!$F$5,2),"请手工填写")))</f>
        <v/>
      </c>
      <c r="X16" s="100" t="str">
        <f>IF(SUM('附表1-面积统计表'!$D$6)=0,"",SUM(T16)-SUM(W16)-SUM(Y16))</f>
        <v/>
      </c>
      <c r="Y16" s="100">
        <f>IF(SUM('附表1-面积统计表'!$D$6)=0,SUM(T16)-SUM(W16),IF('附表1-面积统计表'!$D$29=0,"",IF(AND(V16="共同成本费用",Z16="总建筑面积法"),ROUND(T16/'附表1-面积统计表'!$D$29*'附表1-面积统计表'!$D$7,2),IF(AND(V16="共同成本费用",Z16="可售建筑面积法"),ROUND(T16/'附表1-面积统计表'!$F$29*'附表1-面积统计表'!$F$7,2),"请手工填写"))))</f>
        <v>0</v>
      </c>
      <c r="Z16" s="101" t="s">
        <v>210</v>
      </c>
      <c r="AA16" s="86"/>
      <c r="AB16" s="102" t="s">
        <v>350</v>
      </c>
    </row>
    <row r="17" ht="48" spans="1:28">
      <c r="A17" s="83">
        <v>13</v>
      </c>
      <c r="B17" s="84"/>
      <c r="C17" s="85"/>
      <c r="D17" s="86"/>
      <c r="E17" s="87"/>
      <c r="F17" s="86"/>
      <c r="G17" s="85"/>
      <c r="H17" s="86" t="str">
        <f>IF(G17="","",VLOOKUP(G17,'附表8-合同明细采集底稿'!B:I,2,0))</f>
        <v/>
      </c>
      <c r="I17" s="65" t="str">
        <f>IF(G17="","",VLOOKUP(G17,'附表8-合同明细采集底稿'!B:I,3,0))</f>
        <v/>
      </c>
      <c r="J17" s="86" t="str">
        <f>IF(G17="","",VLOOKUP(G17,'附表8-合同明细采集底稿'!B:I,4,0))</f>
        <v/>
      </c>
      <c r="K17" s="86"/>
      <c r="L17" s="85"/>
      <c r="M17" s="85"/>
      <c r="N17" s="92"/>
      <c r="O17" s="92"/>
      <c r="P17" s="92"/>
      <c r="Q17" s="92"/>
      <c r="R17" s="92">
        <f t="shared" si="0"/>
        <v>0</v>
      </c>
      <c r="S17" s="98" t="str">
        <f t="shared" si="1"/>
        <v/>
      </c>
      <c r="T17" s="92"/>
      <c r="U17" s="86"/>
      <c r="V17" s="99" t="s">
        <v>275</v>
      </c>
      <c r="W17" s="100" t="str">
        <f>IF('附表1-面积统计表'!$D$29=0,"",IF(AND(V17="共同成本费用",Z17="总建筑面积法"),ROUND(T17/'附表1-面积统计表'!$D$29*'附表1-面积统计表'!$D$5,2),IF(AND(V17="共同成本费用",Z17="可售建筑面积法"),ROUND(T17/'附表1-面积统计表'!$F$29*'附表1-面积统计表'!$F$5,2),"请手工填写")))</f>
        <v/>
      </c>
      <c r="X17" s="100" t="str">
        <f>IF(SUM('附表1-面积统计表'!$D$6)=0,"",SUM(T17)-SUM(W17)-SUM(Y17))</f>
        <v/>
      </c>
      <c r="Y17" s="100">
        <f>IF(SUM('附表1-面积统计表'!$D$6)=0,SUM(T17)-SUM(W17),IF('附表1-面积统计表'!$D$29=0,"",IF(AND(V17="共同成本费用",Z17="总建筑面积法"),ROUND(T17/'附表1-面积统计表'!$D$29*'附表1-面积统计表'!$D$7,2),IF(AND(V17="共同成本费用",Z17="可售建筑面积法"),ROUND(T17/'附表1-面积统计表'!$F$29*'附表1-面积统计表'!$F$7,2),"请手工填写"))))</f>
        <v>0</v>
      </c>
      <c r="Z17" s="101" t="s">
        <v>210</v>
      </c>
      <c r="AA17" s="86"/>
      <c r="AB17" s="102" t="s">
        <v>350</v>
      </c>
    </row>
    <row r="18" ht="48" spans="1:28">
      <c r="A18" s="83">
        <v>14</v>
      </c>
      <c r="B18" s="84"/>
      <c r="C18" s="85"/>
      <c r="D18" s="86"/>
      <c r="E18" s="87"/>
      <c r="F18" s="86"/>
      <c r="G18" s="85"/>
      <c r="H18" s="86" t="str">
        <f>IF(G18="","",VLOOKUP(G18,'附表8-合同明细采集底稿'!B:I,2,0))</f>
        <v/>
      </c>
      <c r="I18" s="65" t="str">
        <f>IF(G18="","",VLOOKUP(G18,'附表8-合同明细采集底稿'!B:I,3,0))</f>
        <v/>
      </c>
      <c r="J18" s="86" t="str">
        <f>IF(G18="","",VLOOKUP(G18,'附表8-合同明细采集底稿'!B:I,4,0))</f>
        <v/>
      </c>
      <c r="K18" s="86"/>
      <c r="L18" s="85"/>
      <c r="M18" s="85"/>
      <c r="N18" s="92"/>
      <c r="O18" s="92"/>
      <c r="P18" s="92"/>
      <c r="Q18" s="92"/>
      <c r="R18" s="92">
        <f t="shared" si="0"/>
        <v>0</v>
      </c>
      <c r="S18" s="98" t="str">
        <f t="shared" si="1"/>
        <v/>
      </c>
      <c r="T18" s="92"/>
      <c r="U18" s="86"/>
      <c r="V18" s="99" t="s">
        <v>275</v>
      </c>
      <c r="W18" s="100" t="str">
        <f>IF('附表1-面积统计表'!$D$29=0,"",IF(AND(V18="共同成本费用",Z18="总建筑面积法"),ROUND(T18/'附表1-面积统计表'!$D$29*'附表1-面积统计表'!$D$5,2),IF(AND(V18="共同成本费用",Z18="可售建筑面积法"),ROUND(T18/'附表1-面积统计表'!$F$29*'附表1-面积统计表'!$F$5,2),"请手工填写")))</f>
        <v/>
      </c>
      <c r="X18" s="100" t="str">
        <f>IF(SUM('附表1-面积统计表'!$D$6)=0,"",SUM(T18)-SUM(W18)-SUM(Y18))</f>
        <v/>
      </c>
      <c r="Y18" s="100">
        <f>IF(SUM('附表1-面积统计表'!$D$6)=0,SUM(T18)-SUM(W18),IF('附表1-面积统计表'!$D$29=0,"",IF(AND(V18="共同成本费用",Z18="总建筑面积法"),ROUND(T18/'附表1-面积统计表'!$D$29*'附表1-面积统计表'!$D$7,2),IF(AND(V18="共同成本费用",Z18="可售建筑面积法"),ROUND(T18/'附表1-面积统计表'!$F$29*'附表1-面积统计表'!$F$7,2),"请手工填写"))))</f>
        <v>0</v>
      </c>
      <c r="Z18" s="101" t="s">
        <v>210</v>
      </c>
      <c r="AA18" s="86"/>
      <c r="AB18" s="102" t="s">
        <v>350</v>
      </c>
    </row>
    <row r="19" ht="48" spans="1:28">
      <c r="A19" s="83">
        <v>15</v>
      </c>
      <c r="B19" s="84"/>
      <c r="C19" s="85"/>
      <c r="D19" s="86"/>
      <c r="E19" s="87"/>
      <c r="F19" s="86"/>
      <c r="G19" s="85"/>
      <c r="H19" s="86" t="str">
        <f>IF(G19="","",VLOOKUP(G19,'附表8-合同明细采集底稿'!B:I,2,0))</f>
        <v/>
      </c>
      <c r="I19" s="65" t="str">
        <f>IF(G19="","",VLOOKUP(G19,'附表8-合同明细采集底稿'!B:I,3,0))</f>
        <v/>
      </c>
      <c r="J19" s="86" t="str">
        <f>IF(G19="","",VLOOKUP(G19,'附表8-合同明细采集底稿'!B:I,4,0))</f>
        <v/>
      </c>
      <c r="K19" s="86"/>
      <c r="L19" s="85"/>
      <c r="M19" s="85"/>
      <c r="N19" s="92"/>
      <c r="O19" s="92"/>
      <c r="P19" s="92"/>
      <c r="Q19" s="92"/>
      <c r="R19" s="92">
        <f t="shared" si="0"/>
        <v>0</v>
      </c>
      <c r="S19" s="98" t="str">
        <f t="shared" si="1"/>
        <v/>
      </c>
      <c r="T19" s="92"/>
      <c r="U19" s="86"/>
      <c r="V19" s="99" t="s">
        <v>275</v>
      </c>
      <c r="W19" s="100" t="str">
        <f>IF('附表1-面积统计表'!$D$29=0,"",IF(AND(V19="共同成本费用",Z19="总建筑面积法"),ROUND(T19/'附表1-面积统计表'!$D$29*'附表1-面积统计表'!$D$5,2),IF(AND(V19="共同成本费用",Z19="可售建筑面积法"),ROUND(T19/'附表1-面积统计表'!$F$29*'附表1-面积统计表'!$F$5,2),"请手工填写")))</f>
        <v/>
      </c>
      <c r="X19" s="100" t="str">
        <f>IF(SUM('附表1-面积统计表'!$D$6)=0,"",SUM(T19)-SUM(W19)-SUM(Y19))</f>
        <v/>
      </c>
      <c r="Y19" s="100">
        <f>IF(SUM('附表1-面积统计表'!$D$6)=0,SUM(T19)-SUM(W19),IF('附表1-面积统计表'!$D$29=0,"",IF(AND(V19="共同成本费用",Z19="总建筑面积法"),ROUND(T19/'附表1-面积统计表'!$D$29*'附表1-面积统计表'!$D$7,2),IF(AND(V19="共同成本费用",Z19="可售建筑面积法"),ROUND(T19/'附表1-面积统计表'!$F$29*'附表1-面积统计表'!$F$7,2),"请手工填写"))))</f>
        <v>0</v>
      </c>
      <c r="Z19" s="101" t="s">
        <v>210</v>
      </c>
      <c r="AA19" s="86"/>
      <c r="AB19" s="102" t="s">
        <v>350</v>
      </c>
    </row>
    <row r="20" ht="48" spans="1:28">
      <c r="A20" s="83">
        <v>16</v>
      </c>
      <c r="B20" s="84"/>
      <c r="C20" s="85"/>
      <c r="D20" s="86"/>
      <c r="E20" s="87"/>
      <c r="F20" s="86"/>
      <c r="G20" s="85"/>
      <c r="H20" s="86" t="str">
        <f>IF(G20="","",VLOOKUP(G20,'附表8-合同明细采集底稿'!B:I,2,0))</f>
        <v/>
      </c>
      <c r="I20" s="65" t="str">
        <f>IF(G20="","",VLOOKUP(G20,'附表8-合同明细采集底稿'!B:I,3,0))</f>
        <v/>
      </c>
      <c r="J20" s="86" t="str">
        <f>IF(G20="","",VLOOKUP(G20,'附表8-合同明细采集底稿'!B:I,4,0))</f>
        <v/>
      </c>
      <c r="K20" s="86"/>
      <c r="L20" s="85"/>
      <c r="M20" s="85"/>
      <c r="N20" s="92"/>
      <c r="O20" s="92"/>
      <c r="P20" s="92"/>
      <c r="Q20" s="92"/>
      <c r="R20" s="92">
        <f t="shared" si="0"/>
        <v>0</v>
      </c>
      <c r="S20" s="98" t="str">
        <f t="shared" si="1"/>
        <v/>
      </c>
      <c r="T20" s="92"/>
      <c r="U20" s="86"/>
      <c r="V20" s="99" t="s">
        <v>275</v>
      </c>
      <c r="W20" s="100" t="str">
        <f>IF('附表1-面积统计表'!$D$29=0,"",IF(AND(V20="共同成本费用",Z20="总建筑面积法"),ROUND(T20/'附表1-面积统计表'!$D$29*'附表1-面积统计表'!$D$5,2),IF(AND(V20="共同成本费用",Z20="可售建筑面积法"),ROUND(T20/'附表1-面积统计表'!$F$29*'附表1-面积统计表'!$F$5,2),"请手工填写")))</f>
        <v/>
      </c>
      <c r="X20" s="100" t="str">
        <f>IF(SUM('附表1-面积统计表'!$D$6)=0,"",SUM(T20)-SUM(W20)-SUM(Y20))</f>
        <v/>
      </c>
      <c r="Y20" s="100">
        <f>IF(SUM('附表1-面积统计表'!$D$6)=0,SUM(T20)-SUM(W20),IF('附表1-面积统计表'!$D$29=0,"",IF(AND(V20="共同成本费用",Z20="总建筑面积法"),ROUND(T20/'附表1-面积统计表'!$D$29*'附表1-面积统计表'!$D$7,2),IF(AND(V20="共同成本费用",Z20="可售建筑面积法"),ROUND(T20/'附表1-面积统计表'!$F$29*'附表1-面积统计表'!$F$7,2),"请手工填写"))))</f>
        <v>0</v>
      </c>
      <c r="Z20" s="101" t="s">
        <v>210</v>
      </c>
      <c r="AA20" s="86"/>
      <c r="AB20" s="102" t="s">
        <v>350</v>
      </c>
    </row>
    <row r="21" ht="48" spans="1:28">
      <c r="A21" s="83">
        <v>17</v>
      </c>
      <c r="B21" s="84"/>
      <c r="C21" s="85"/>
      <c r="D21" s="86"/>
      <c r="E21" s="87"/>
      <c r="F21" s="86"/>
      <c r="G21" s="85"/>
      <c r="H21" s="86" t="str">
        <f>IF(G21="","",VLOOKUP(G21,'附表8-合同明细采集底稿'!B:I,2,0))</f>
        <v/>
      </c>
      <c r="I21" s="65" t="str">
        <f>IF(G21="","",VLOOKUP(G21,'附表8-合同明细采集底稿'!B:I,3,0))</f>
        <v/>
      </c>
      <c r="J21" s="86" t="str">
        <f>IF(G21="","",VLOOKUP(G21,'附表8-合同明细采集底稿'!B:I,4,0))</f>
        <v/>
      </c>
      <c r="K21" s="86"/>
      <c r="L21" s="85"/>
      <c r="M21" s="85"/>
      <c r="N21" s="92"/>
      <c r="O21" s="92"/>
      <c r="P21" s="92"/>
      <c r="Q21" s="92"/>
      <c r="R21" s="92">
        <f t="shared" si="0"/>
        <v>0</v>
      </c>
      <c r="S21" s="98" t="str">
        <f t="shared" si="1"/>
        <v/>
      </c>
      <c r="T21" s="92"/>
      <c r="U21" s="86"/>
      <c r="V21" s="99" t="s">
        <v>275</v>
      </c>
      <c r="W21" s="100" t="str">
        <f>IF('附表1-面积统计表'!$D$29=0,"",IF(AND(V21="共同成本费用",Z21="总建筑面积法"),ROUND(T21/'附表1-面积统计表'!$D$29*'附表1-面积统计表'!$D$5,2),IF(AND(V21="共同成本费用",Z21="可售建筑面积法"),ROUND(T21/'附表1-面积统计表'!$F$29*'附表1-面积统计表'!$F$5,2),"请手工填写")))</f>
        <v/>
      </c>
      <c r="X21" s="100" t="str">
        <f>IF(SUM('附表1-面积统计表'!$D$6)=0,"",SUM(T21)-SUM(W21)-SUM(Y21))</f>
        <v/>
      </c>
      <c r="Y21" s="100">
        <f>IF(SUM('附表1-面积统计表'!$D$6)=0,SUM(T21)-SUM(W21),IF('附表1-面积统计表'!$D$29=0,"",IF(AND(V21="共同成本费用",Z21="总建筑面积法"),ROUND(T21/'附表1-面积统计表'!$D$29*'附表1-面积统计表'!$D$7,2),IF(AND(V21="共同成本费用",Z21="可售建筑面积法"),ROUND(T21/'附表1-面积统计表'!$F$29*'附表1-面积统计表'!$F$7,2),"请手工填写"))))</f>
        <v>0</v>
      </c>
      <c r="Z21" s="101" t="s">
        <v>210</v>
      </c>
      <c r="AA21" s="86"/>
      <c r="AB21" s="102" t="s">
        <v>350</v>
      </c>
    </row>
    <row r="22" ht="48" spans="1:28">
      <c r="A22" s="83">
        <v>18</v>
      </c>
      <c r="B22" s="84"/>
      <c r="C22" s="85"/>
      <c r="D22" s="86"/>
      <c r="E22" s="87"/>
      <c r="F22" s="86"/>
      <c r="G22" s="85"/>
      <c r="H22" s="86" t="str">
        <f>IF(G22="","",VLOOKUP(G22,'附表8-合同明细采集底稿'!B:I,2,0))</f>
        <v/>
      </c>
      <c r="I22" s="65" t="str">
        <f>IF(G22="","",VLOOKUP(G22,'附表8-合同明细采集底稿'!B:I,3,0))</f>
        <v/>
      </c>
      <c r="J22" s="86" t="str">
        <f>IF(G22="","",VLOOKUP(G22,'附表8-合同明细采集底稿'!B:I,4,0))</f>
        <v/>
      </c>
      <c r="K22" s="86"/>
      <c r="L22" s="85"/>
      <c r="M22" s="85"/>
      <c r="N22" s="92"/>
      <c r="O22" s="92"/>
      <c r="P22" s="92"/>
      <c r="Q22" s="92"/>
      <c r="R22" s="92">
        <f t="shared" si="0"/>
        <v>0</v>
      </c>
      <c r="S22" s="98" t="str">
        <f t="shared" si="1"/>
        <v/>
      </c>
      <c r="T22" s="92"/>
      <c r="U22" s="86"/>
      <c r="V22" s="99" t="s">
        <v>275</v>
      </c>
      <c r="W22" s="100" t="str">
        <f>IF('附表1-面积统计表'!$D$29=0,"",IF(AND(V22="共同成本费用",Z22="总建筑面积法"),ROUND(T22/'附表1-面积统计表'!$D$29*'附表1-面积统计表'!$D$5,2),IF(AND(V22="共同成本费用",Z22="可售建筑面积法"),ROUND(T22/'附表1-面积统计表'!$F$29*'附表1-面积统计表'!$F$5,2),"请手工填写")))</f>
        <v/>
      </c>
      <c r="X22" s="100" t="str">
        <f>IF(SUM('附表1-面积统计表'!$D$6)=0,"",SUM(T22)-SUM(W22)-SUM(Y22))</f>
        <v/>
      </c>
      <c r="Y22" s="100">
        <f>IF(SUM('附表1-面积统计表'!$D$6)=0,SUM(T22)-SUM(W22),IF('附表1-面积统计表'!$D$29=0,"",IF(AND(V22="共同成本费用",Z22="总建筑面积法"),ROUND(T22/'附表1-面积统计表'!$D$29*'附表1-面积统计表'!$D$7,2),IF(AND(V22="共同成本费用",Z22="可售建筑面积法"),ROUND(T22/'附表1-面积统计表'!$F$29*'附表1-面积统计表'!$F$7,2),"请手工填写"))))</f>
        <v>0</v>
      </c>
      <c r="Z22" s="101" t="s">
        <v>210</v>
      </c>
      <c r="AA22" s="86"/>
      <c r="AB22" s="102" t="s">
        <v>350</v>
      </c>
    </row>
    <row r="23" ht="48" spans="1:28">
      <c r="A23" s="83">
        <v>19</v>
      </c>
      <c r="B23" s="84"/>
      <c r="C23" s="85"/>
      <c r="D23" s="86"/>
      <c r="E23" s="87"/>
      <c r="F23" s="86"/>
      <c r="G23" s="85"/>
      <c r="H23" s="86" t="str">
        <f>IF(G23="","",VLOOKUP(G23,'附表8-合同明细采集底稿'!B:I,2,0))</f>
        <v/>
      </c>
      <c r="I23" s="65" t="str">
        <f>IF(G23="","",VLOOKUP(G23,'附表8-合同明细采集底稿'!B:I,3,0))</f>
        <v/>
      </c>
      <c r="J23" s="86" t="str">
        <f>IF(G23="","",VLOOKUP(G23,'附表8-合同明细采集底稿'!B:I,4,0))</f>
        <v/>
      </c>
      <c r="K23" s="86"/>
      <c r="L23" s="85"/>
      <c r="M23" s="85"/>
      <c r="N23" s="92"/>
      <c r="O23" s="92"/>
      <c r="P23" s="92"/>
      <c r="Q23" s="92"/>
      <c r="R23" s="92">
        <f t="shared" si="0"/>
        <v>0</v>
      </c>
      <c r="S23" s="98" t="str">
        <f t="shared" si="1"/>
        <v/>
      </c>
      <c r="T23" s="92"/>
      <c r="U23" s="86"/>
      <c r="V23" s="99" t="s">
        <v>275</v>
      </c>
      <c r="W23" s="100" t="str">
        <f>IF('附表1-面积统计表'!$D$29=0,"",IF(AND(V23="共同成本费用",Z23="总建筑面积法"),ROUND(T23/'附表1-面积统计表'!$D$29*'附表1-面积统计表'!$D$5,2),IF(AND(V23="共同成本费用",Z23="可售建筑面积法"),ROUND(T23/'附表1-面积统计表'!$F$29*'附表1-面积统计表'!$F$5,2),"请手工填写")))</f>
        <v/>
      </c>
      <c r="X23" s="100" t="str">
        <f>IF(SUM('附表1-面积统计表'!$D$6)=0,"",SUM(T23)-SUM(W23)-SUM(Y23))</f>
        <v/>
      </c>
      <c r="Y23" s="100">
        <f>IF(SUM('附表1-面积统计表'!$D$6)=0,SUM(T23)-SUM(W23),IF('附表1-面积统计表'!$D$29=0,"",IF(AND(V23="共同成本费用",Z23="总建筑面积法"),ROUND(T23/'附表1-面积统计表'!$D$29*'附表1-面积统计表'!$D$7,2),IF(AND(V23="共同成本费用",Z23="可售建筑面积法"),ROUND(T23/'附表1-面积统计表'!$F$29*'附表1-面积统计表'!$F$7,2),"请手工填写"))))</f>
        <v>0</v>
      </c>
      <c r="Z23" s="101" t="s">
        <v>210</v>
      </c>
      <c r="AA23" s="86"/>
      <c r="AB23" s="102" t="s">
        <v>350</v>
      </c>
    </row>
    <row r="24" ht="48" spans="1:28">
      <c r="A24" s="83">
        <v>20</v>
      </c>
      <c r="B24" s="84"/>
      <c r="C24" s="85"/>
      <c r="D24" s="86"/>
      <c r="E24" s="87"/>
      <c r="F24" s="86"/>
      <c r="G24" s="85"/>
      <c r="H24" s="86" t="str">
        <f>IF(G24="","",VLOOKUP(G24,'附表8-合同明细采集底稿'!B:I,2,0))</f>
        <v/>
      </c>
      <c r="I24" s="65" t="str">
        <f>IF(G24="","",VLOOKUP(G24,'附表8-合同明细采集底稿'!B:I,3,0))</f>
        <v/>
      </c>
      <c r="J24" s="86" t="str">
        <f>IF(G24="","",VLOOKUP(G24,'附表8-合同明细采集底稿'!B:I,4,0))</f>
        <v/>
      </c>
      <c r="K24" s="86"/>
      <c r="L24" s="85"/>
      <c r="M24" s="85"/>
      <c r="N24" s="92"/>
      <c r="O24" s="92"/>
      <c r="P24" s="92"/>
      <c r="Q24" s="92"/>
      <c r="R24" s="92">
        <f t="shared" si="0"/>
        <v>0</v>
      </c>
      <c r="S24" s="98" t="str">
        <f t="shared" si="1"/>
        <v/>
      </c>
      <c r="T24" s="92"/>
      <c r="U24" s="86"/>
      <c r="V24" s="99" t="s">
        <v>275</v>
      </c>
      <c r="W24" s="100" t="str">
        <f>IF('附表1-面积统计表'!$D$29=0,"",IF(AND(V24="共同成本费用",Z24="总建筑面积法"),ROUND(T24/'附表1-面积统计表'!$D$29*'附表1-面积统计表'!$D$5,2),IF(AND(V24="共同成本费用",Z24="可售建筑面积法"),ROUND(T24/'附表1-面积统计表'!$F$29*'附表1-面积统计表'!$F$5,2),"请手工填写")))</f>
        <v/>
      </c>
      <c r="X24" s="100" t="str">
        <f>IF(SUM('附表1-面积统计表'!$D$6)=0,"",SUM(T24)-SUM(W24)-SUM(Y24))</f>
        <v/>
      </c>
      <c r="Y24" s="100">
        <f>IF(SUM('附表1-面积统计表'!$D$6)=0,SUM(T24)-SUM(W24),IF('附表1-面积统计表'!$D$29=0,"",IF(AND(V24="共同成本费用",Z24="总建筑面积法"),ROUND(T24/'附表1-面积统计表'!$D$29*'附表1-面积统计表'!$D$7,2),IF(AND(V24="共同成本费用",Z24="可售建筑面积法"),ROUND(T24/'附表1-面积统计表'!$F$29*'附表1-面积统计表'!$F$7,2),"请手工填写"))))</f>
        <v>0</v>
      </c>
      <c r="Z24" s="101" t="s">
        <v>210</v>
      </c>
      <c r="AA24" s="86"/>
      <c r="AB24" s="102" t="s">
        <v>350</v>
      </c>
    </row>
    <row r="25" ht="24" customHeight="1" spans="1:28">
      <c r="A25" s="83">
        <v>21</v>
      </c>
      <c r="B25" s="84"/>
      <c r="C25" s="85"/>
      <c r="D25" s="86"/>
      <c r="E25" s="87"/>
      <c r="F25" s="86"/>
      <c r="G25" s="85"/>
      <c r="H25" s="86" t="str">
        <f>IF(G25="","",VLOOKUP(G25,'附表8-合同明细采集底稿'!B:I,2,0))</f>
        <v/>
      </c>
      <c r="I25" s="65" t="str">
        <f>IF(G25="","",VLOOKUP(G25,'附表8-合同明细采集底稿'!B:I,3,0))</f>
        <v/>
      </c>
      <c r="J25" s="86" t="str">
        <f>IF(G25="","",VLOOKUP(G25,'附表8-合同明细采集底稿'!B:I,4,0))</f>
        <v/>
      </c>
      <c r="K25" s="86"/>
      <c r="L25" s="85"/>
      <c r="M25" s="85"/>
      <c r="N25" s="92"/>
      <c r="O25" s="92"/>
      <c r="P25" s="92"/>
      <c r="Q25" s="92"/>
      <c r="R25" s="92">
        <f t="shared" si="0"/>
        <v>0</v>
      </c>
      <c r="S25" s="98" t="str">
        <f t="shared" si="1"/>
        <v/>
      </c>
      <c r="T25" s="92"/>
      <c r="U25" s="86"/>
      <c r="V25" s="99" t="s">
        <v>275</v>
      </c>
      <c r="W25" s="100" t="str">
        <f>IF('附表1-面积统计表'!$D$29=0,"",IF(AND(V25="共同成本费用",Z25="总建筑面积法"),ROUND(T25/'附表1-面积统计表'!$D$29*'附表1-面积统计表'!$D$5,2),IF(AND(V25="共同成本费用",Z25="可售建筑面积法"),ROUND(T25/'附表1-面积统计表'!$F$29*'附表1-面积统计表'!$F$5,2),"请手工填写")))</f>
        <v/>
      </c>
      <c r="X25" s="100" t="str">
        <f>IF(SUM('附表1-面积统计表'!$D$6)=0,"",SUM(T25)-SUM(W25)-SUM(Y25))</f>
        <v/>
      </c>
      <c r="Y25" s="100">
        <f>IF(SUM('附表1-面积统计表'!$D$6)=0,SUM(T25)-SUM(W25),IF('附表1-面积统计表'!$D$29=0,"",IF(AND(V25="共同成本费用",Z25="总建筑面积法"),ROUND(T25/'附表1-面积统计表'!$D$29*'附表1-面积统计表'!$D$7,2),IF(AND(V25="共同成本费用",Z25="可售建筑面积法"),ROUND(T25/'附表1-面积统计表'!$F$29*'附表1-面积统计表'!$F$7,2),"请手工填写"))))</f>
        <v>0</v>
      </c>
      <c r="Z25" s="101" t="s">
        <v>210</v>
      </c>
      <c r="AA25" s="86"/>
      <c r="AB25" s="102" t="s">
        <v>350</v>
      </c>
    </row>
    <row r="26" ht="24" customHeight="1" spans="1:28">
      <c r="A26" s="83">
        <v>22</v>
      </c>
      <c r="B26" s="84"/>
      <c r="C26" s="85"/>
      <c r="D26" s="86"/>
      <c r="E26" s="87"/>
      <c r="F26" s="86"/>
      <c r="G26" s="85"/>
      <c r="H26" s="86" t="str">
        <f>IF(G26="","",VLOOKUP(G26,'附表8-合同明细采集底稿'!B:I,2,0))</f>
        <v/>
      </c>
      <c r="I26" s="65" t="str">
        <f>IF(G26="","",VLOOKUP(G26,'附表8-合同明细采集底稿'!B:I,3,0))</f>
        <v/>
      </c>
      <c r="J26" s="86" t="str">
        <f>IF(G26="","",VLOOKUP(G26,'附表8-合同明细采集底稿'!B:I,4,0))</f>
        <v/>
      </c>
      <c r="K26" s="86"/>
      <c r="L26" s="85"/>
      <c r="M26" s="85"/>
      <c r="N26" s="92"/>
      <c r="O26" s="92"/>
      <c r="P26" s="92"/>
      <c r="Q26" s="92"/>
      <c r="R26" s="92">
        <f t="shared" si="0"/>
        <v>0</v>
      </c>
      <c r="S26" s="98" t="str">
        <f t="shared" si="1"/>
        <v/>
      </c>
      <c r="T26" s="92"/>
      <c r="U26" s="86"/>
      <c r="V26" s="99" t="s">
        <v>275</v>
      </c>
      <c r="W26" s="100" t="str">
        <f>IF('附表1-面积统计表'!$D$29=0,"",IF(AND(V26="共同成本费用",Z26="总建筑面积法"),ROUND(T26/'附表1-面积统计表'!$D$29*'附表1-面积统计表'!$D$5,2),IF(AND(V26="共同成本费用",Z26="可售建筑面积法"),ROUND(T26/'附表1-面积统计表'!$F$29*'附表1-面积统计表'!$F$5,2),"请手工填写")))</f>
        <v/>
      </c>
      <c r="X26" s="100" t="str">
        <f>IF(SUM('附表1-面积统计表'!$D$6)=0,"",SUM(T26)-SUM(W26)-SUM(Y26))</f>
        <v/>
      </c>
      <c r="Y26" s="100">
        <f>IF(SUM('附表1-面积统计表'!$D$6)=0,SUM(T26)-SUM(W26),IF('附表1-面积统计表'!$D$29=0,"",IF(AND(V26="共同成本费用",Z26="总建筑面积法"),ROUND(T26/'附表1-面积统计表'!$D$29*'附表1-面积统计表'!$D$7,2),IF(AND(V26="共同成本费用",Z26="可售建筑面积法"),ROUND(T26/'附表1-面积统计表'!$F$29*'附表1-面积统计表'!$F$7,2),"请手工填写"))))</f>
        <v>0</v>
      </c>
      <c r="Z26" s="101" t="s">
        <v>210</v>
      </c>
      <c r="AA26" s="86"/>
      <c r="AB26" s="102" t="s">
        <v>350</v>
      </c>
    </row>
  </sheetData>
  <mergeCells count="3">
    <mergeCell ref="A1:AB1"/>
    <mergeCell ref="A2:AB2"/>
    <mergeCell ref="A3:A4"/>
  </mergeCells>
  <dataValidations count="8">
    <dataValidation type="list" showInputMessage="1" showErrorMessage="1" sqref="G5:G26">
      <formula1>OFFSET('附表8-合同明细采集底稿'!$B$5,,,COUNTA('附表8-合同明细采集底稿'!$B$5:$B$252),1)</formula1>
    </dataValidation>
    <dataValidation type="list" allowBlank="1" showInputMessage="1" showErrorMessage="1" sqref="E5:E26">
      <formula1>OFFSET(数据对照表!$B$2,,MATCH($D5,数据对照表!$B$1:$I$1,0)-1,COUNTA(OFFSET(数据对照表!$B$2,,MATCH($D5,数据对照表!$B$1:$I$1,0)-1,255)))</formula1>
    </dataValidation>
    <dataValidation type="list" allowBlank="1" showInputMessage="1" showErrorMessage="1" sqref="D5:D1048576">
      <formula1>OFFSET(数据对照表!$B$1,,,1,COUNTA(数据对照表!$B$1:$I$1))</formula1>
    </dataValidation>
    <dataValidation type="list" allowBlank="1" showInputMessage="1" showErrorMessage="1" sqref="K5:K1048576">
      <formula1>OFFSET(数据对照表!$J$2,,,COUNTA(数据对照表!J:J)-1,1)</formula1>
    </dataValidation>
    <dataValidation allowBlank="1" showInputMessage="1" sqref="H5:J26"/>
    <dataValidation type="list" allowBlank="1" showInputMessage="1" showErrorMessage="1" sqref="V5:V1048576">
      <formula1>OFFSET(数据对照表!$K$1,,,1,COUNTA(数据对照表!$K$1:$L$1))</formula1>
    </dataValidation>
    <dataValidation type="list" allowBlank="1" showInputMessage="1" showErrorMessage="1" sqref="Z5:Z26">
      <formula1>OFFSET(数据对照表!$K$2,,MATCH($V5,数据对照表!$K$1:$L$1,0)-1,COUNTA(OFFSET(数据对照表!$K$2,,MATCH($V5,数据对照表!$K$1:$L$1,0)-1,255)))</formula1>
    </dataValidation>
    <dataValidation type="list" allowBlank="1" showInputMessage="1" showErrorMessage="1" sqref="AB5:AB26">
      <formula1>OFFSET(数据对照表!$M$2,,MATCH($D5,数据对照表!$M$1:$T$1,0)-1,COUNTA(OFFSET(数据对照表!$M$2,,MATCH($D5,数据对照表!$M$1:$T$1,0)-1,255)))</formula1>
    </dataValidation>
  </dataValidations>
  <printOptions horizontalCentered="1"/>
  <pageMargins left="0.747916666666667" right="0.511805555555556" top="0.984027777777778" bottom="0.984027777777778" header="0.511805555555556" footer="0.511805555555556"/>
  <pageSetup paperSize="9" scale="36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清算项目基本情况表</vt:lpstr>
      <vt:lpstr>土地增值税税源明细表</vt:lpstr>
      <vt:lpstr>附表1-面积统计表</vt:lpstr>
      <vt:lpstr>附表2-收入统计表</vt:lpstr>
      <vt:lpstr>附表3-扣除项目分摊表</vt:lpstr>
      <vt:lpstr>附表4-项目间共同扣除金额分摊表</vt:lpstr>
      <vt:lpstr>附表5-扣除项目统计表</vt:lpstr>
      <vt:lpstr>附表6-收入明细采集底稿</vt:lpstr>
      <vt:lpstr>附表7-扣除项目明细采集底稿</vt:lpstr>
      <vt:lpstr>附表8-合同明细采集底稿</vt:lpstr>
      <vt:lpstr>工程造价采集表</vt:lpstr>
      <vt:lpstr>数据对照表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楚拾涛</cp:lastModifiedBy>
  <dcterms:created xsi:type="dcterms:W3CDTF">2016-12-13T16:54:00Z</dcterms:created>
  <cp:lastPrinted>2021-07-06T05:57:00Z</cp:lastPrinted>
  <dcterms:modified xsi:type="dcterms:W3CDTF">2023-07-27T02:26:25Z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  <property fmtid="{D5CDD505-2E9C-101B-9397-08002B2CF9AE}" pid="3" name="ICV">
    <vt:lpwstr>E417CD8A80BA4EAEBC407CC4A4D48981</vt:lpwstr>
  </property>
  <property fmtid="{D5CDD505-2E9C-101B-9397-08002B2CF9AE}" pid="4" name="KSOReadingLayout">
    <vt:bool>true</vt:bool>
  </property>
</Properties>
</file>